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tables/table4.xml" ContentType="application/vnd.openxmlformats-officedocument.spreadsheetml.table+xml"/>
  <Override PartName="/xl/comments4.xml" ContentType="application/vnd.openxmlformats-officedocument.spreadsheetml.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hidePivotFieldList="1"/>
  <mc:AlternateContent xmlns:mc="http://schemas.openxmlformats.org/markup-compatibility/2006">
    <mc:Choice Requires="x15">
      <x15ac:absPath xmlns:x15ac="http://schemas.microsoft.com/office/spreadsheetml/2010/11/ac" url="/Users/laurarodriguez/Downloads/Questionario_Patrimonial/"/>
    </mc:Choice>
  </mc:AlternateContent>
  <xr:revisionPtr revIDLastSave="0" documentId="13_ncr:1_{AD45FD89-5EFA-0F4C-94B6-438E0FCD1FBE}" xr6:coauthVersionLast="47" xr6:coauthVersionMax="47" xr10:uidLastSave="{00000000-0000-0000-0000-000000000000}"/>
  <bookViews>
    <workbookView xWindow="0" yWindow="780" windowWidth="34200" windowHeight="20000" activeTab="4" xr2:uid="{00000000-000D-0000-FFFF-FFFF00000000}"/>
  </bookViews>
  <sheets>
    <sheet name="Empresas" sheetId="1" r:id="rId1"/>
    <sheet name="Inversiones No Productivas" sheetId="2" r:id="rId2"/>
    <sheet name="Inversiones Productivas" sheetId="3" r:id="rId3"/>
    <sheet name="Inversiones Financieras" sheetId="4" r:id="rId4"/>
    <sheet name="Datos adicionales" sheetId="5" r:id="rId5"/>
    <sheet name="inputs " sheetId="10" r:id="rId6"/>
    <sheet name="Instrucciones" sheetId="6" r:id="rId7"/>
  </sheets>
  <definedNames>
    <definedName name="Categoria">inputs[Categoria]</definedName>
    <definedName name="sub_asset_class">'inputs '!$C$2:$C$21</definedName>
    <definedName name="Subcategoria">inputs[Subcategoria]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4" l="1"/>
  <c r="C12" i="4"/>
  <c r="C19" i="4" s="1"/>
  <c r="B13" i="4"/>
  <c r="C13" i="4" s="1"/>
  <c r="B14" i="4"/>
  <c r="C14" i="4" s="1"/>
  <c r="B15" i="4"/>
  <c r="C15" i="4" s="1"/>
  <c r="B16" i="4"/>
  <c r="C16" i="4" s="1"/>
  <c r="B17" i="4"/>
  <c r="C17" i="4"/>
  <c r="B18" i="4"/>
  <c r="C18" i="4"/>
  <c r="B9" i="3"/>
  <c r="C9" i="3"/>
  <c r="C13" i="3"/>
  <c r="C10" i="3"/>
  <c r="C11" i="3"/>
  <c r="C12" i="3"/>
  <c r="B10" i="3"/>
  <c r="B11" i="3"/>
  <c r="B12" i="3"/>
  <c r="H2" i="2"/>
  <c r="T2" i="4"/>
  <c r="T3" i="4"/>
  <c r="T4" i="4"/>
  <c r="T5" i="4"/>
  <c r="T6" i="4"/>
  <c r="T7" i="4"/>
  <c r="T8" i="4"/>
  <c r="T9" i="4"/>
  <c r="K5" i="1"/>
  <c r="K2" i="1"/>
  <c r="K3" i="1"/>
  <c r="K4" i="1"/>
  <c r="J4" i="1"/>
  <c r="J3" i="1"/>
  <c r="J2" i="1"/>
  <c r="H4" i="1"/>
  <c r="H3" i="1"/>
  <c r="H2" i="1"/>
  <c r="H5" i="1" s="1"/>
  <c r="J3" i="4"/>
  <c r="J4" i="4"/>
  <c r="J5" i="4"/>
  <c r="J6" i="4"/>
  <c r="J7" i="4"/>
  <c r="J8" i="4"/>
  <c r="J2" i="4"/>
  <c r="J3" i="3"/>
  <c r="J4" i="3"/>
  <c r="J5" i="3"/>
  <c r="J2" i="3"/>
  <c r="H3" i="2"/>
  <c r="H4" i="2"/>
  <c r="H5" i="2"/>
  <c r="H6" i="2"/>
  <c r="H7" i="2"/>
  <c r="M2" i="4" l="1"/>
  <c r="N2" i="4" s="1"/>
  <c r="M3" i="4"/>
  <c r="N3" i="4" s="1"/>
  <c r="M4" i="4"/>
  <c r="N4" i="4" s="1"/>
  <c r="M5" i="4"/>
  <c r="N5" i="4" s="1"/>
  <c r="M6" i="4"/>
  <c r="N6" i="4" s="1"/>
  <c r="M7" i="4"/>
  <c r="N7" i="4" s="1"/>
  <c r="M8" i="4"/>
  <c r="N8" i="4" s="1"/>
  <c r="M2" i="3"/>
  <c r="N2" i="3" s="1"/>
  <c r="M3" i="3"/>
  <c r="N3" i="3" s="1"/>
  <c r="M4" i="3"/>
  <c r="N4" i="3" s="1"/>
  <c r="M5" i="3"/>
  <c r="N5" i="3" s="1"/>
  <c r="Q2" i="4" l="1"/>
  <c r="R2" i="4" s="1"/>
  <c r="Q3" i="4"/>
  <c r="R3" i="4" s="1"/>
  <c r="Q4" i="4"/>
  <c r="R4" i="4" s="1"/>
  <c r="Q5" i="4"/>
  <c r="R5" i="4" s="1"/>
  <c r="Q6" i="4"/>
  <c r="R6" i="4" s="1"/>
  <c r="Q7" i="4"/>
  <c r="R7" i="4" s="1"/>
  <c r="Q8" i="4"/>
  <c r="R8" i="4" s="1"/>
  <c r="J9" i="4"/>
  <c r="H9" i="4"/>
  <c r="P6" i="3"/>
  <c r="H6" i="3"/>
  <c r="J5" i="1"/>
  <c r="M5" i="1"/>
  <c r="I5" i="1"/>
  <c r="S6" i="3"/>
  <c r="F8" i="2"/>
  <c r="F5" i="1"/>
  <c r="N5" i="1"/>
  <c r="L5" i="1"/>
  <c r="J6" i="3"/>
  <c r="R9" i="4" l="1"/>
  <c r="N6" i="3"/>
  <c r="N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E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Use: COP, USD, EUR</t>
        </r>
      </text>
    </comment>
    <comment ref="O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Available sectors: TECNOLOGÍA, SALUD, CONSTRUCCIÓN, etc.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E1" authorId="0" shapeId="0" xr:uid="{9BA2CE40-98D1-44F0-A175-788A788E2BE3}">
      <text>
        <r>
          <rPr>
            <sz val="11"/>
            <color theme="1"/>
            <rFont val="Calibri"/>
            <family val="2"/>
            <scheme val="minor"/>
          </rPr>
          <t>Use: COP, USD, EUR</t>
        </r>
      </text>
    </comment>
    <comment ref="K1" authorId="0" shapeId="0" xr:uid="{00000000-0006-0000-0100-000003000000}">
      <text>
        <r>
          <rPr>
            <sz val="11"/>
            <color rgb="FF000000"/>
            <rFont val="Calibri"/>
            <family val="2"/>
          </rPr>
          <t>Levels: BAJO, MEDIO, ALTO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E1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Use: COP, USD, EUR</t>
        </r>
      </text>
    </comment>
    <comment ref="S1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Liquidity: BAJO, MEDIO, ALTO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  <author xml:space="preserve">Laura Rodríguez Ortega </author>
  </authors>
  <commentList>
    <comment ref="E1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Use: COP, USD, EUR</t>
        </r>
      </text>
    </comment>
    <comment ref="F1" authorId="1" shapeId="0" xr:uid="{3F98E9B7-0666-4B4D-A7BF-7A1B81932965}">
      <text>
        <r>
          <rPr>
            <b/>
            <sz val="10"/>
            <color rgb="FF000000"/>
            <rFont val="Tahoma"/>
            <family val="2"/>
          </rPr>
          <t>Laura Rodríguez Ortega 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Renta fija
</t>
        </r>
        <r>
          <rPr>
            <sz val="10"/>
            <color rgb="FF000000"/>
            <rFont val="Tahoma"/>
            <family val="2"/>
          </rPr>
          <t xml:space="preserve">Renta variable 
</t>
        </r>
        <r>
          <rPr>
            <sz val="10"/>
            <color rgb="FF000000"/>
            <rFont val="Tahoma"/>
            <family val="2"/>
          </rPr>
          <t xml:space="preserve">Alternativos 
</t>
        </r>
      </text>
    </comment>
    <comment ref="W1" authorId="0" shapeId="0" xr:uid="{00000000-0006-0000-0300-000003000000}">
      <text>
        <r>
          <rPr>
            <sz val="11"/>
            <color rgb="FF000000"/>
            <rFont val="Calibri"/>
            <family val="2"/>
          </rPr>
          <t>Liquidity: BAJO, MEDIO, ALTO</t>
        </r>
      </text>
    </comment>
  </commentList>
</comments>
</file>

<file path=xl/sharedStrings.xml><?xml version="1.0" encoding="utf-8"?>
<sst xmlns="http://schemas.openxmlformats.org/spreadsheetml/2006/main" count="550" uniqueCount="335">
  <si>
    <t>Empresa</t>
  </si>
  <si>
    <t>Nombre</t>
  </si>
  <si>
    <t>Propietario</t>
  </si>
  <si>
    <t>Porcentaje</t>
  </si>
  <si>
    <t>Moneda (Lista)</t>
  </si>
  <si>
    <t>Tasa de Cambio</t>
  </si>
  <si>
    <t>Ventas</t>
  </si>
  <si>
    <t>EBITDA</t>
  </si>
  <si>
    <t>Utilidad Neta</t>
  </si>
  <si>
    <t>Sector</t>
  </si>
  <si>
    <t>ID</t>
  </si>
  <si>
    <t>Nombre del Activo</t>
  </si>
  <si>
    <t>Impuestos</t>
  </si>
  <si>
    <t>Apreciación Anual (%)</t>
  </si>
  <si>
    <t>Nivel de Liquidez (Lista)</t>
  </si>
  <si>
    <t>Plazo (Años)</t>
  </si>
  <si>
    <t>Contraparte</t>
  </si>
  <si>
    <t>Categoría</t>
  </si>
  <si>
    <t>Tipo de Relación</t>
  </si>
  <si>
    <t>Gastos Esenciales</t>
  </si>
  <si>
    <t>Mercado</t>
  </si>
  <si>
    <t>Gastos Operativos</t>
  </si>
  <si>
    <t>Predial</t>
  </si>
  <si>
    <t>Ingresos</t>
  </si>
  <si>
    <t>PROALTUS PLANTILLA DE ANÁLISIS DE PORTAFOLIO - INSTRUCCIONES</t>
  </si>
  <si>
    <t>PAUTAS GENERALES:</t>
  </si>
  <si>
    <t>1. Completar datos financieros en cada hoja correspondiente</t>
  </si>
  <si>
    <t>2. No modifique el encavezado o firmulas</t>
  </si>
  <si>
    <t>3. Use las listas desplegables cuando estén disponibles</t>
  </si>
  <si>
    <t>4. Los cálculos automáticos se actualizarán en tiempo real</t>
  </si>
  <si>
    <t>5. Suba el archivo completado al dashboard</t>
  </si>
  <si>
    <t>DESCRIPCIÓN DE HOJAS:</t>
  </si>
  <si>
    <t>EMPRESAS:</t>
  </si>
  <si>
    <t>- Valor Patrimonial (COP) = Valor Patrimonial × Tasa de Cambio</t>
  </si>
  <si>
    <t>INVERSIONES NO PRODUCTIVAS:</t>
  </si>
  <si>
    <t>- Valor (COP) = Valor ($) × Tasa de Cambio</t>
  </si>
  <si>
    <t>INVERSIONES PRODUCTIVAS:</t>
  </si>
  <si>
    <t>INVERSIONES FINANCIERAS:</t>
  </si>
  <si>
    <t>COSTOS:</t>
  </si>
  <si>
    <t>- Usa 'Tipo de Relación' para categorizar el impacto en flujo de efectivo</t>
  </si>
  <si>
    <t>CÓDIGOS DE MONEDA:</t>
  </si>
  <si>
    <t>COP = Peso Colombiano</t>
  </si>
  <si>
    <t>USD = Dólar Estadounidense</t>
  </si>
  <si>
    <t>EUR = Euro</t>
  </si>
  <si>
    <t>Total</t>
  </si>
  <si>
    <t>Categoria</t>
  </si>
  <si>
    <t>Subcategoria</t>
  </si>
  <si>
    <t>Renta/Hipoteca</t>
  </si>
  <si>
    <t>Agua</t>
  </si>
  <si>
    <t>Luz/Electricidad</t>
  </si>
  <si>
    <t>Gas</t>
  </si>
  <si>
    <t>Internet</t>
  </si>
  <si>
    <t>Teléfono Fijo</t>
  </si>
  <si>
    <t>Telefonía Móvil</t>
  </si>
  <si>
    <t>Supermercado</t>
  </si>
  <si>
    <t>Despensa Básica</t>
  </si>
  <si>
    <t>Productos de Limpieza</t>
  </si>
  <si>
    <t>Productos de Higiene Personal</t>
  </si>
  <si>
    <t>Medicamentos</t>
  </si>
  <si>
    <t>Seguro Médico</t>
  </si>
  <si>
    <t>Consultas Médicas</t>
  </si>
  <si>
    <t>Combustible</t>
  </si>
  <si>
    <t>Transporte Público</t>
  </si>
  <si>
    <t>Mantenimiento Vehículo Básico</t>
  </si>
  <si>
    <t>Seguro Vehicular</t>
  </si>
  <si>
    <t>Colegiaturas</t>
  </si>
  <si>
    <t>Material Escolar</t>
  </si>
  <si>
    <t>Uniformes</t>
  </si>
  <si>
    <t>Comida para Mascotas</t>
  </si>
  <si>
    <t>Servicios Públicos Básicos</t>
  </si>
  <si>
    <t>Mantenimiento del Hogar</t>
  </si>
  <si>
    <t>Administración/Condominio</t>
  </si>
  <si>
    <t>Transporte (Taxi/Uber)</t>
  </si>
  <si>
    <t>Estacionamientos</t>
  </si>
  <si>
    <t>Peajes</t>
  </si>
  <si>
    <t>Reparaciones Vehículo</t>
  </si>
  <si>
    <t>Restaurantes</t>
  </si>
  <si>
    <t>Cine</t>
  </si>
  <si>
    <t>Entretenimiento</t>
  </si>
  <si>
    <t>Streaming (Netflix, Spotify, etc.)</t>
  </si>
  <si>
    <t>Suscripciones Digitales</t>
  </si>
  <si>
    <t>Gimnasio</t>
  </si>
  <si>
    <t>Deportes</t>
  </si>
  <si>
    <t>Ropa Personal</t>
  </si>
  <si>
    <t>Calzado</t>
  </si>
  <si>
    <t>Accesorios</t>
  </si>
  <si>
    <t>Peluquería/Estética</t>
  </si>
  <si>
    <t>Productos de Belleza</t>
  </si>
  <si>
    <t>Vacaciones</t>
  </si>
  <si>
    <t>Hobbies</t>
  </si>
  <si>
    <t>Eventos Sociales</t>
  </si>
  <si>
    <t>Decoración del Hogar</t>
  </si>
  <si>
    <t>Electrodomésticos</t>
  </si>
  <si>
    <t>Equipos Electrónicos</t>
  </si>
  <si>
    <t>Software Personal</t>
  </si>
  <si>
    <t>Reparación de Dispositivos</t>
  </si>
  <si>
    <t>Empleada Doméstica</t>
  </si>
  <si>
    <t>Jardinería</t>
  </si>
  <si>
    <t>Fumigación</t>
  </si>
  <si>
    <t>Masajes/Spa</t>
  </si>
  <si>
    <t>Libros y Revistas</t>
  </si>
  <si>
    <t>Regalos</t>
  </si>
  <si>
    <t>Donaciones</t>
  </si>
  <si>
    <t>Multas de Tránsito</t>
  </si>
  <si>
    <t>Trámites Personales</t>
  </si>
  <si>
    <t>Fotografía/Video</t>
  </si>
  <si>
    <t>Juegos y Videojuegos</t>
  </si>
  <si>
    <t>Música</t>
  </si>
  <si>
    <t>Arte y Cultura</t>
  </si>
  <si>
    <t>Cursos Recreativos</t>
  </si>
  <si>
    <t>ISR (Impuesto Sobre la Renta)</t>
  </si>
  <si>
    <t>IVA por Pagar</t>
  </si>
  <si>
    <t>Tenencia Vehicular</t>
  </si>
  <si>
    <t>Verificación Vehicular</t>
  </si>
  <si>
    <t>ISR Empresarial</t>
  </si>
  <si>
    <t>IMSS Patronal</t>
  </si>
  <si>
    <t>INFONAVIT Patronal</t>
  </si>
  <si>
    <t>SAR</t>
  </si>
  <si>
    <t>Impuesto Estatal sobre Nómina</t>
  </si>
  <si>
    <t>Derechos Vehiculares</t>
  </si>
  <si>
    <t>Impuestos Municipales</t>
  </si>
  <si>
    <t>Multas Fiscales</t>
  </si>
  <si>
    <t>Recargos Fiscales</t>
  </si>
  <si>
    <t>Trámites Gubernamentales</t>
  </si>
  <si>
    <t>IEPS (Impuestos Especiales)</t>
  </si>
  <si>
    <t>Contribuciones de Mejoras</t>
  </si>
  <si>
    <t>Impuesto sobre Adquisición de Inmuebles</t>
  </si>
  <si>
    <t>Derechos de Construcción</t>
  </si>
  <si>
    <t>Permisos y Licencias</t>
  </si>
  <si>
    <t>Bonificaciones</t>
  </si>
  <si>
    <t>Comisiones</t>
  </si>
  <si>
    <t>Horas Extra</t>
  </si>
  <si>
    <t>Aguinaldo</t>
  </si>
  <si>
    <t>Prima Vacacional</t>
  </si>
  <si>
    <t>Utilidades</t>
  </si>
  <si>
    <t>Indemnizaciones</t>
  </si>
  <si>
    <t>Ventas de Productos</t>
  </si>
  <si>
    <t>Prestación de Servicios</t>
  </si>
  <si>
    <t>Consultoría</t>
  </si>
  <si>
    <t>Freelance</t>
  </si>
  <si>
    <t>Comercio Electrónico</t>
  </si>
  <si>
    <t>Regalías</t>
  </si>
  <si>
    <t>Alquileres de Propiedades</t>
  </si>
  <si>
    <t>Dividendos</t>
  </si>
  <si>
    <t>Intereses Bancarios</t>
  </si>
  <si>
    <t>Ganancias en Inversiones</t>
  </si>
  <si>
    <t>Renta de Vehículos</t>
  </si>
  <si>
    <t>Licencias y Patentes</t>
  </si>
  <si>
    <t>Derechos de Autor</t>
  </si>
  <si>
    <t>Pensiones</t>
  </si>
  <si>
    <t>Jubilación</t>
  </si>
  <si>
    <t>Subsidios Gubernamentales</t>
  </si>
  <si>
    <t>Becas</t>
  </si>
  <si>
    <t>Donaciones Recibidas</t>
  </si>
  <si>
    <t>Reembolsos</t>
  </si>
  <si>
    <t>Premios y Sorteos</t>
  </si>
  <si>
    <t>Venta de Activos</t>
  </si>
  <si>
    <t>Venta de Vehículos</t>
  </si>
  <si>
    <t>Venta de Inmuebles</t>
  </si>
  <si>
    <t>Liquidaciones</t>
  </si>
  <si>
    <t>Finiquitos</t>
  </si>
  <si>
    <t>Ingresos por Capacitación</t>
  </si>
  <si>
    <t>Ingresos por Conferencias</t>
  </si>
  <si>
    <t>Rendimientos de Inversión</t>
  </si>
  <si>
    <t>Intereses por Préstamos Otorgados</t>
  </si>
  <si>
    <t xml:space="preserve">Subcategoria </t>
  </si>
  <si>
    <t xml:space="preserve">Geografia </t>
  </si>
  <si>
    <t>Geografia</t>
  </si>
  <si>
    <t>Asset class</t>
  </si>
  <si>
    <t>Sub Asset class</t>
  </si>
  <si>
    <t xml:space="preserve">Sub Asset classes </t>
  </si>
  <si>
    <t>US Equity</t>
  </si>
  <si>
    <t>EU Equity</t>
  </si>
  <si>
    <t>Japan Equity</t>
  </si>
  <si>
    <t>Asia Ex Japan Equity</t>
  </si>
  <si>
    <t>EM Equity</t>
  </si>
  <si>
    <t>Real Estate</t>
  </si>
  <si>
    <t>Real Estate Development</t>
  </si>
  <si>
    <t>Real Estate Core</t>
  </si>
  <si>
    <t>Real Estate Value Add</t>
  </si>
  <si>
    <t>Private Debt</t>
  </si>
  <si>
    <t>Private Equity</t>
  </si>
  <si>
    <t>Hedge Fund</t>
  </si>
  <si>
    <t>Commodities</t>
  </si>
  <si>
    <t>Venture Capital</t>
  </si>
  <si>
    <t>Cryptocurrency</t>
  </si>
  <si>
    <t>US Debt</t>
  </si>
  <si>
    <t>Ex US Debt</t>
  </si>
  <si>
    <t>Inflation Linked</t>
  </si>
  <si>
    <t>High Yield</t>
  </si>
  <si>
    <t>Cash</t>
  </si>
  <si>
    <t xml:space="preserve">Other Costs (%) </t>
  </si>
  <si>
    <t>Total Costs (%)</t>
  </si>
  <si>
    <t>Costo Proaltus (%)</t>
  </si>
  <si>
    <t xml:space="preserve">Costo Total Proaltus ($) </t>
  </si>
  <si>
    <t>Rentabilidad (%)</t>
  </si>
  <si>
    <t xml:space="preserve">Rentabilidad (%) </t>
  </si>
  <si>
    <t xml:space="preserve">Yield (%) </t>
  </si>
  <si>
    <t>E1</t>
  </si>
  <si>
    <t>TechSolutions Colombia SAS</t>
  </si>
  <si>
    <t>María González</t>
  </si>
  <si>
    <t>USD</t>
  </si>
  <si>
    <t>TECNOLOGIA</t>
  </si>
  <si>
    <t>E2</t>
  </si>
  <si>
    <t>Inmobiliaria Premium Ltda</t>
  </si>
  <si>
    <t>INMOBILIARIO</t>
  </si>
  <si>
    <t>E3</t>
  </si>
  <si>
    <t>Consultora Estratégica Pro</t>
  </si>
  <si>
    <t>COP</t>
  </si>
  <si>
    <t>SERVICIOS</t>
  </si>
  <si>
    <t>NP1</t>
  </si>
  <si>
    <t>Casa Principal Zona Norte</t>
  </si>
  <si>
    <t>NP2</t>
  </si>
  <si>
    <t>Apartamento Playa Cartagena</t>
  </si>
  <si>
    <t>NP3</t>
  </si>
  <si>
    <t>Finca Recreativa Eje Cafetero</t>
  </si>
  <si>
    <t>NP6</t>
  </si>
  <si>
    <t>Colección Arte Contemporáneo</t>
  </si>
  <si>
    <t>NP7</t>
  </si>
  <si>
    <t>Relojería de Colección</t>
  </si>
  <si>
    <t>NP8</t>
  </si>
  <si>
    <t>Yate 45 pies</t>
  </si>
  <si>
    <t>USA</t>
  </si>
  <si>
    <t xml:space="preserve">COL </t>
  </si>
  <si>
    <t>BAJO</t>
  </si>
  <si>
    <t>MEDIO</t>
  </si>
  <si>
    <t>P1</t>
  </si>
  <si>
    <t>P2</t>
  </si>
  <si>
    <t>Complejo Industrial Zona Franca</t>
  </si>
  <si>
    <t>P3</t>
  </si>
  <si>
    <t>Desarrollo Residencial Norte</t>
  </si>
  <si>
    <t>P4</t>
  </si>
  <si>
    <t>Granja Solar 5MW</t>
  </si>
  <si>
    <t>COL</t>
  </si>
  <si>
    <t>F1</t>
  </si>
  <si>
    <t>CDT Bancolombia 18 meses</t>
  </si>
  <si>
    <t>F2</t>
  </si>
  <si>
    <t>Fondo Mutuo Internacional</t>
  </si>
  <si>
    <t>F3</t>
  </si>
  <si>
    <t>Portfolio Acciones Colombia</t>
  </si>
  <si>
    <t>F4</t>
  </si>
  <si>
    <t>Bonos Gobierno USA</t>
  </si>
  <si>
    <t>F5</t>
  </si>
  <si>
    <t>ETF Mercados Emergentes</t>
  </si>
  <si>
    <t>F6</t>
  </si>
  <si>
    <t>Cuenta Ahorros Alto Rendimiento</t>
  </si>
  <si>
    <t>F7</t>
  </si>
  <si>
    <t>Fiducia Inmobiliaria</t>
  </si>
  <si>
    <t>Renta fija</t>
  </si>
  <si>
    <t>Renta variable</t>
  </si>
  <si>
    <t>Alternativos</t>
  </si>
  <si>
    <t>ALTO</t>
  </si>
  <si>
    <t>Bancolombia</t>
  </si>
  <si>
    <t>Corficolombiana</t>
  </si>
  <si>
    <t>Casa de Bolsa</t>
  </si>
  <si>
    <t>Gobierno USA</t>
  </si>
  <si>
    <t>BlackRock</t>
  </si>
  <si>
    <t>Banco de Occidente</t>
  </si>
  <si>
    <t>Fiduprevisora</t>
  </si>
  <si>
    <t>DA1</t>
  </si>
  <si>
    <t>Salario Profesional</t>
  </si>
  <si>
    <t>Ingreso</t>
  </si>
  <si>
    <t>DA2</t>
  </si>
  <si>
    <t>Servicios públicos</t>
  </si>
  <si>
    <t>Egreso</t>
  </si>
  <si>
    <t>DA3</t>
  </si>
  <si>
    <t>DA4</t>
  </si>
  <si>
    <t>Mercado/Alimentación</t>
  </si>
  <si>
    <t>DA5</t>
  </si>
  <si>
    <t>Salud y medicina prepagada</t>
  </si>
  <si>
    <t>DA6</t>
  </si>
  <si>
    <t>Seguridad personal</t>
  </si>
  <si>
    <t>DA7</t>
  </si>
  <si>
    <t>Personal doméstico</t>
  </si>
  <si>
    <t>Mantenimiento vehículos</t>
  </si>
  <si>
    <t>Seguros generales</t>
  </si>
  <si>
    <t>Gastos Varios</t>
  </si>
  <si>
    <t>Entretenimiento/Restaurantes</t>
  </si>
  <si>
    <t>Deportes y bienestar</t>
  </si>
  <si>
    <t>Ropa y accesorios</t>
  </si>
  <si>
    <t>Tecnología y gadgets</t>
  </si>
  <si>
    <t>Vacaciones familiares anuales</t>
  </si>
  <si>
    <t>Viajes de negocios</t>
  </si>
  <si>
    <t>Joyería y relojes</t>
  </si>
  <si>
    <t>Arte y colecciones</t>
  </si>
  <si>
    <t>Vinos y licores premium</t>
  </si>
  <si>
    <t>Inversiones</t>
  </si>
  <si>
    <t>Aporte Pensión Voluntaria</t>
  </si>
  <si>
    <t>Proyecto Inmobiliario Nuevo</t>
  </si>
  <si>
    <t>Provisión Impuesto Renta</t>
  </si>
  <si>
    <t>Impuesto al Patrimonio</t>
  </si>
  <si>
    <t>Otros impuestos</t>
  </si>
  <si>
    <t>Valor (USD)</t>
  </si>
  <si>
    <t>Costo mantenimiento</t>
  </si>
  <si>
    <t>Plazo</t>
  </si>
  <si>
    <t>Pasivo</t>
  </si>
  <si>
    <t xml:space="preserve">Management Fee Actual (%) </t>
  </si>
  <si>
    <t>Geografía</t>
  </si>
  <si>
    <t>Valor Patrimonial (USD)</t>
  </si>
  <si>
    <t>Valor Participación (USD)</t>
  </si>
  <si>
    <t>Rendimiento Mensual</t>
  </si>
  <si>
    <t>Col</t>
  </si>
  <si>
    <t>EUR</t>
  </si>
  <si>
    <t>Valor (Moneda Local)</t>
  </si>
  <si>
    <t>Centro Comercial Local</t>
  </si>
  <si>
    <t>EU</t>
  </si>
  <si>
    <t>Valor Patrimonial (Moneda Local)</t>
  </si>
  <si>
    <t>Valor</t>
  </si>
  <si>
    <t>Valor Participación (Moneda Local)</t>
  </si>
  <si>
    <t>Cambio formula</t>
  </si>
  <si>
    <t xml:space="preserve">Flujo </t>
  </si>
  <si>
    <t>LATAM</t>
  </si>
  <si>
    <t xml:space="preserve">Inverciones </t>
  </si>
  <si>
    <t>DA8</t>
  </si>
  <si>
    <t>DA9</t>
  </si>
  <si>
    <t>DA10</t>
  </si>
  <si>
    <t>DA11</t>
  </si>
  <si>
    <t>DA12</t>
  </si>
  <si>
    <t>DA13</t>
  </si>
  <si>
    <t>DA14</t>
  </si>
  <si>
    <t>DA15</t>
  </si>
  <si>
    <t>DA16</t>
  </si>
  <si>
    <t>DA17</t>
  </si>
  <si>
    <t>DA18</t>
  </si>
  <si>
    <t>DA19</t>
  </si>
  <si>
    <t>DA20</t>
  </si>
  <si>
    <t>DA21</t>
  </si>
  <si>
    <t>DA22</t>
  </si>
  <si>
    <t>DA23</t>
  </si>
  <si>
    <t>DA24</t>
  </si>
  <si>
    <t>DA25</t>
  </si>
  <si>
    <t>DA26</t>
  </si>
  <si>
    <t>DA27</t>
  </si>
  <si>
    <t>DA28</t>
  </si>
  <si>
    <t>DA29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</si>
</sst>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_-;_-@_-"/>
    <numFmt numFmtId="165" formatCode="_(* #,##0_);_(* \(#,##0\);_(* &quot;-&quot;??_);_(@_)"/>
    <numFmt numFmtId="166" formatCode="0.0"/>
  </numFmts>
  <fonts count="17" x14ac:knownFonts="1">
    <font>
      <sz val="11"/>
      <color theme="1"/>
      <name val="Calibri"/>
      <family val="2"/>
      <scheme val="minor"/>
    </font>
    <font>
      <b/>
      <sz val="16"/>
      <color rgb="FF1E3A8A"/>
      <name val="Calibri"/>
      <family val="2"/>
    </font>
    <font>
      <b/>
      <sz val="12"/>
      <color rgb="FF1E3A8A"/>
      <name val="Calibri"/>
      <family val="2"/>
    </font>
    <font>
      <b/>
      <sz val="11"/>
      <color rgb="FF3B82F6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(Body)"/>
    </font>
    <font>
      <sz val="11"/>
      <color theme="1"/>
      <name val="Calibri (Body)"/>
    </font>
    <font>
      <sz val="11"/>
      <color rgb="FF00000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8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  <fill>
      <patternFill patternType="solid">
        <fgColor rgb="FFDCE6F1"/>
        <bgColor rgb="FFDCE6F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95B3D7"/>
      </top>
      <bottom style="thin">
        <color rgb="FF95B3D7"/>
      </bottom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164" fontId="0" fillId="0" borderId="0" xfId="1" applyFont="1" applyFill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9" fontId="0" fillId="0" borderId="0" xfId="2" applyFont="1"/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3" fillId="3" borderId="2" xfId="0" applyFont="1" applyFill="1" applyBorder="1"/>
    <xf numFmtId="0" fontId="14" fillId="3" borderId="1" xfId="0" applyFont="1" applyFill="1" applyBorder="1"/>
    <xf numFmtId="0" fontId="14" fillId="3" borderId="3" xfId="0" applyFont="1" applyFill="1" applyBorder="1"/>
    <xf numFmtId="0" fontId="13" fillId="0" borderId="2" xfId="0" applyFont="1" applyBorder="1"/>
    <xf numFmtId="0" fontId="14" fillId="0" borderId="1" xfId="0" applyFont="1" applyBorder="1"/>
    <xf numFmtId="0" fontId="14" fillId="0" borderId="3" xfId="0" applyFont="1" applyBorder="1"/>
    <xf numFmtId="0" fontId="5" fillId="0" borderId="0" xfId="0" applyFont="1"/>
    <xf numFmtId="0" fontId="14" fillId="0" borderId="0" xfId="0" applyFont="1"/>
    <xf numFmtId="10" fontId="5" fillId="0" borderId="0" xfId="0" applyNumberFormat="1" applyFont="1"/>
    <xf numFmtId="9" fontId="15" fillId="0" borderId="0" xfId="2" applyFont="1"/>
    <xf numFmtId="43" fontId="0" fillId="0" borderId="0" xfId="3" applyFont="1"/>
    <xf numFmtId="165" fontId="5" fillId="0" borderId="0" xfId="3" applyNumberFormat="1" applyFont="1" applyAlignment="1">
      <alignment horizontal="center" vertical="center"/>
    </xf>
    <xf numFmtId="165" fontId="0" fillId="0" borderId="0" xfId="3" applyNumberFormat="1" applyFont="1" applyFill="1" applyAlignment="1">
      <alignment horizontal="center" vertical="center"/>
    </xf>
    <xf numFmtId="43" fontId="14" fillId="0" borderId="0" xfId="3" applyFont="1"/>
    <xf numFmtId="165" fontId="0" fillId="0" borderId="0" xfId="3" applyNumberFormat="1" applyFont="1"/>
    <xf numFmtId="43" fontId="5" fillId="0" borderId="0" xfId="0" applyNumberFormat="1" applyFont="1"/>
    <xf numFmtId="166" fontId="14" fillId="3" borderId="1" xfId="0" applyNumberFormat="1" applyFont="1" applyFill="1" applyBorder="1"/>
    <xf numFmtId="166" fontId="14" fillId="0" borderId="1" xfId="0" applyNumberFormat="1" applyFont="1" applyBorder="1"/>
    <xf numFmtId="9" fontId="14" fillId="3" borderId="1" xfId="0" applyNumberFormat="1" applyFont="1" applyFill="1" applyBorder="1"/>
    <xf numFmtId="9" fontId="14" fillId="0" borderId="1" xfId="0" applyNumberFormat="1" applyFont="1" applyBorder="1"/>
    <xf numFmtId="165" fontId="14" fillId="0" borderId="0" xfId="3" applyNumberFormat="1" applyFont="1"/>
    <xf numFmtId="9" fontId="0" fillId="0" borderId="0" xfId="0" applyNumberFormat="1"/>
    <xf numFmtId="0" fontId="16" fillId="0" borderId="0" xfId="0" applyFont="1"/>
    <xf numFmtId="165" fontId="0" fillId="0" borderId="0" xfId="0" applyNumberFormat="1"/>
    <xf numFmtId="0" fontId="12" fillId="0" borderId="0" xfId="0" applyFont="1" applyAlignment="1">
      <alignment horizontal="center" vertical="center"/>
    </xf>
    <xf numFmtId="43" fontId="0" fillId="0" borderId="0" xfId="3" applyFont="1" applyFill="1" applyAlignment="1">
      <alignment horizontal="center" vertical="center"/>
    </xf>
    <xf numFmtId="43" fontId="0" fillId="0" borderId="0" xfId="3" applyFont="1" applyAlignment="1">
      <alignment horizontal="center" vertical="center"/>
    </xf>
    <xf numFmtId="164" fontId="0" fillId="0" borderId="0" xfId="0" applyNumberFormat="1"/>
    <xf numFmtId="43" fontId="0" fillId="0" borderId="0" xfId="0" applyNumberFormat="1"/>
    <xf numFmtId="0" fontId="0" fillId="4" borderId="0" xfId="0" applyFill="1"/>
    <xf numFmtId="10" fontId="0" fillId="0" borderId="0" xfId="0" applyNumberFormat="1"/>
    <xf numFmtId="3" fontId="0" fillId="0" borderId="0" xfId="0" applyNumberFormat="1"/>
    <xf numFmtId="43" fontId="4" fillId="0" borderId="0" xfId="0" applyNumberFormat="1" applyFont="1"/>
    <xf numFmtId="165" fontId="4" fillId="0" borderId="0" xfId="0" applyNumberFormat="1" applyFont="1"/>
    <xf numFmtId="0" fontId="5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0" fillId="6" borderId="0" xfId="0" applyFill="1"/>
    <xf numFmtId="2" fontId="0" fillId="0" borderId="0" xfId="0" applyNumberFormat="1"/>
    <xf numFmtId="2" fontId="4" fillId="0" borderId="0" xfId="0" applyNumberFormat="1" applyFont="1"/>
    <xf numFmtId="165" fontId="7" fillId="0" borderId="0" xfId="3" applyNumberFormat="1" applyFont="1" applyFill="1"/>
    <xf numFmtId="0" fontId="6" fillId="7" borderId="0" xfId="0" applyFont="1" applyFill="1" applyAlignment="1">
      <alignment horizontal="center" vertical="center"/>
    </xf>
  </cellXfs>
  <cellStyles count="4">
    <cellStyle name="Comma" xfId="3" builtinId="3"/>
    <cellStyle name="Comma [0]" xfId="1" builtinId="6"/>
    <cellStyle name="Normal" xfId="0" builtinId="0"/>
    <cellStyle name="Percent" xfId="2" builtinId="5"/>
  </cellStyles>
  <dxfs count="1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(Body)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(Body)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 (Body)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 (Body)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 (Body)"/>
      </font>
      <numFmt numFmtId="165" formatCode="_(* #,##0_);_(* \(#,##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(Body)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 (Body)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 (Body)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 (Body)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(Body)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64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</dxf>
    <dxf>
      <numFmt numFmtId="164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_-;_-@_-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5" formatCode="_(* #,##0_);_(* \(#,##0\);_(* &quot;-&quot;??_);_(@_)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65" formatCode="_(* #,##0_);_(* \(#,##0\);_(* &quot;-&quot;??_);_(@_)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</dxf>
    <dxf>
      <numFmt numFmtId="13" formatCode="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3" formatCode="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numFmt numFmtId="164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35" formatCode="_(* #,##0.00_);_(* \(#,##0.00\);_(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164" formatCode="_-* #,##0_-;\-* #,##0_-;_-* &quot;-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65" formatCode="_(* #,##0_);_(* \(#,##0\);_(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3" formatCode="0%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8D3221-6891-C549-95FE-34E6B47B8988}" name="empresas" displayName="empresas" ref="A1:O5" totalsRowCount="1" headerRowDxfId="123" dataDxfId="122" totalsRowDxfId="121">
  <autoFilter ref="A1:O4" xr:uid="{CC8D3221-6891-C549-95FE-34E6B47B8988}"/>
  <tableColumns count="15">
    <tableColumn id="1" xr3:uid="{AB50D9EB-D144-674C-9A9C-30EADB5DEBEA}" name="Empresa" totalsRowLabel="Total" dataDxfId="120"/>
    <tableColumn id="2" xr3:uid="{7C583593-7C09-4A4C-9789-5FE1492CDDD4}" name="Nombre" dataDxfId="119"/>
    <tableColumn id="3" xr3:uid="{22243BA0-2DE5-7147-BE90-3362004D4772}" name="Propietario" dataDxfId="118"/>
    <tableColumn id="15" xr3:uid="{7B362A76-78FC-4CDD-9CF4-695531442F06}" name="Geografía" dataDxfId="117"/>
    <tableColumn id="5" xr3:uid="{EC94FF1E-443B-054B-942F-2E1E7E8D035A}" name="Moneda (Lista)" dataDxfId="116"/>
    <tableColumn id="6" xr3:uid="{55D21908-0FA3-D941-9075-950CA06841CB}" name="Valor Patrimonial (Moneda Local)" totalsRowFunction="sum" dataDxfId="115"/>
    <tableColumn id="7" xr3:uid="{40F0862F-D379-5844-BFA8-662BBA9CDECC}" name="Tasa de Cambio" dataDxfId="114"/>
    <tableColumn id="8" xr3:uid="{FFBAB9C0-17D1-3044-818B-A8402EC11426}" name="Valor Patrimonial (USD)" totalsRowFunction="sum" dataDxfId="113"/>
    <tableColumn id="4" xr3:uid="{8BAE15AF-215E-EC4B-8538-712C5C9C4AAF}" name="Porcentaje" totalsRowFunction="sum" dataDxfId="112" totalsRowDxfId="111" dataCellStyle="Percent"/>
    <tableColumn id="12" xr3:uid="{0FC2BED4-4D72-7E43-9D64-859E4A626DA8}" name="Valor Participación (Moneda Local)" totalsRowFunction="sum" dataDxfId="110"/>
    <tableColumn id="17" xr3:uid="{599DA6E8-53B1-4DB5-BD86-4EDDAE13C4D6}" name="Valor Participación (USD)" totalsRowFunction="sum" dataDxfId="109">
      <calculatedColumnFormula>empresas[[#This Row],[Porcentaje]]*empresas[[#This Row],[Valor Patrimonial (USD)]]</calculatedColumnFormula>
    </tableColumn>
    <tableColumn id="9" xr3:uid="{B2BCA8C2-CDB5-D548-B77D-AE1B2DFF7D03}" name="Ventas" totalsRowFunction="sum" dataDxfId="108"/>
    <tableColumn id="10" xr3:uid="{69B9E777-A984-354D-AF6E-26987CAB1D71}" name="EBITDA" totalsRowFunction="sum" dataDxfId="107"/>
    <tableColumn id="11" xr3:uid="{6E8FBEE1-747D-534B-8F44-5758E9D25300}" name="Utilidad Neta" totalsRowFunction="sum" dataDxfId="106"/>
    <tableColumn id="14" xr3:uid="{88C40D10-C924-8046-BE47-5966ECAE5A7F}" name="Sector" dataDxfId="105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FE9CFC-6763-8840-A896-02ADBD0112DA}" name="inversiones_no_productivas" displayName="inversiones_no_productivas" ref="A1:K8" totalsRowCount="1" headerRowDxfId="104" dataDxfId="103" totalsRowDxfId="102">
  <autoFilter ref="A1:K7" xr:uid="{1EFE9CFC-6763-8840-A896-02ADBD0112DA}"/>
  <tableColumns count="11">
    <tableColumn id="1" xr3:uid="{59D7AEE4-91E9-2A49-AD7E-9F4B4033FE7B}" name="ID" totalsRowLabel="Total" dataDxfId="101"/>
    <tableColumn id="2" xr3:uid="{ABA304CB-47CD-3647-A62D-2F45BBDCFC96}" name="Nombre del Activo" dataDxfId="100"/>
    <tableColumn id="3" xr3:uid="{4F13BE3D-5F96-ED47-ADCD-B81320EFC1E9}" name="Propietario" dataDxfId="99"/>
    <tableColumn id="14" xr3:uid="{2DB4168D-D5FD-5946-B394-A8B8B7DC9141}" name="Geografia " dataDxfId="98"/>
    <tableColumn id="5" xr3:uid="{F3FA6F89-0B4E-1140-9098-457AB4C9FCC5}" name="Moneda (Lista)" dataDxfId="97"/>
    <tableColumn id="7" xr3:uid="{730A6B20-1702-F14C-8160-8E862A731C09}" name="Valor (Moneda Local)" totalsRowFunction="sum" dataDxfId="96" totalsRowDxfId="95" dataCellStyle="Comma"/>
    <tableColumn id="6" xr3:uid="{633B6FE8-2421-4B4B-BD2F-41EAEF38905F}" name="Tasa de Cambio" dataDxfId="94"/>
    <tableColumn id="8" xr3:uid="{CA997397-FE5C-49D2-A67E-21F34A9A1A2B}" name="Valor (USD)" dataDxfId="93">
      <calculatedColumnFormula>inversiones_no_productivas[[#This Row],[Valor (Moneda Local)]]/inversiones_no_productivas[[#This Row],[Tasa de Cambio]]</calculatedColumnFormula>
    </tableColumn>
    <tableColumn id="15" xr3:uid="{A9668270-F1ED-4A49-804F-2A4602DD4D5C}" name="Costo mantenimiento" dataDxfId="92" dataCellStyle="Comma">
      <calculatedColumnFormula>(#REF! *#REF!)</calculatedColumnFormula>
    </tableColumn>
    <tableColumn id="9" xr3:uid="{D0B7A5ED-B9DE-4148-91B3-B46030BF9A23}" name="Impuestos" dataDxfId="91"/>
    <tableColumn id="12" xr3:uid="{58D08D76-6CE5-7E44-8A0F-73944963C37B}" name="Nivel de Liquidez (Lista)" dataDxfId="90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1FF901F-8AD5-B740-A661-FCA87A0C23A1}" name="inversiones_productivas" displayName="inversiones_productivas" ref="A1:S6" totalsRowCount="1" headerRowDxfId="89" dataDxfId="88" totalsRowDxfId="87">
  <autoFilter ref="A1:S5" xr:uid="{E1FF901F-8AD5-B740-A661-FCA87A0C23A1}"/>
  <tableColumns count="19">
    <tableColumn id="1" xr3:uid="{5DAA3D93-1B56-984F-88AD-4B139D2C22F4}" name="ID" totalsRowLabel="Total" dataDxfId="86"/>
    <tableColumn id="2" xr3:uid="{070AE4CD-3527-734B-A1CE-0BFDF95ABE54}" name="Nombre del Activo" dataDxfId="85"/>
    <tableColumn id="3" xr3:uid="{D9A388E5-EA53-B143-BA7B-C8BABBD3DD2C}" name="Propietario" dataDxfId="84"/>
    <tableColumn id="17" xr3:uid="{01DA037E-4316-1B49-A14B-8AF38B921D4A}" name="Geografia" dataDxfId="83" totalsRowDxfId="82" dataCellStyle="Comma [0]"/>
    <tableColumn id="5" xr3:uid="{50F60E45-B831-4443-AF3B-D516150CC025}" name="Moneda (Lista)" dataDxfId="81" dataCellStyle="Comma [0]"/>
    <tableColumn id="12" xr3:uid="{6878A23A-717E-4746-B5A7-AB0EBF10BBBC}" name="Asset class" dataDxfId="80"/>
    <tableColumn id="11" xr3:uid="{05CA307D-9D77-4720-A0CF-B15858AC0540}" name="Sub Asset class" dataDxfId="79"/>
    <tableColumn id="4" xr3:uid="{931C5391-EC54-F04A-9E78-9D381BFA8FE3}" name="Valor (Moneda Local)" totalsRowFunction="sum" dataDxfId="78" totalsRowDxfId="77" dataCellStyle="Comma"/>
    <tableColumn id="6" xr3:uid="{0CF260D9-A6A5-DC45-B265-8A516955AD10}" name="Tasa de Cambio" dataDxfId="76" dataCellStyle="Comma"/>
    <tableColumn id="7" xr3:uid="{ED287F0C-6F0A-2540-BE27-8B326ADF029E}" name="Valor (USD)" totalsRowFunction="sum" dataDxfId="75" totalsRowDxfId="74" dataCellStyle="Comma">
      <calculatedColumnFormula>inversiones_productivas[[#This Row],[Valor (Moneda Local)]]/inversiones_productivas[[#This Row],[Tasa de Cambio]]</calculatedColumnFormula>
    </tableColumn>
    <tableColumn id="27" xr3:uid="{380DFDF8-B206-1646-8AF0-5D6E37692056}" name="Yield (%) " dataDxfId="73" totalsRowDxfId="72" dataCellStyle="Percent"/>
    <tableColumn id="24" xr3:uid="{C0585FD5-1F90-4F4D-988B-EEF69936F52F}" name="Apreciación Anual (%)" dataDxfId="71" totalsRowDxfId="70" dataCellStyle="Percent"/>
    <tableColumn id="29" xr3:uid="{48768F32-2719-F947-B99A-DC5C45356ED5}" name="Rentabilidad (%) " dataDxfId="69" totalsRowDxfId="68" dataCellStyle="Percent">
      <calculatedColumnFormula>inversiones_productivas[[#This Row],[Yield (%) ]]+inversiones_productivas[[#This Row],[Apreciación Anual (%)]]</calculatedColumnFormula>
    </tableColumn>
    <tableColumn id="16" xr3:uid="{68A1EFC2-E429-2B43-8944-840B04F4642C}" name="Rendimiento Mensual" totalsRowFunction="sum" dataDxfId="67" totalsRowDxfId="66" dataCellStyle="Comma">
      <calculatedColumnFormula>(inversiones_productivas[[#This Row],[Rentabilidad (%) ]]*inversiones_productivas[[#This Row],[Valor (USD)]])/12</calculatedColumnFormula>
    </tableColumn>
    <tableColumn id="20" xr3:uid="{DFACB642-408A-AA44-9F13-83869C7B9E05}" name="Costo mantenimiento" dataDxfId="65" dataCellStyle="Comma"/>
    <tableColumn id="9" xr3:uid="{2E6C80D8-C4D9-014A-84DA-DC2A33900582}" name="Impuestos" totalsRowFunction="sum" dataDxfId="64" totalsRowDxfId="63" dataCellStyle="Comma"/>
    <tableColumn id="10" xr3:uid="{95BBEF6C-C0A5-3245-AD7A-36AE2C6BEEC1}" name="Plazo (Años)" dataDxfId="62"/>
    <tableColumn id="8" xr3:uid="{F4153AC0-A589-4CFD-9A8E-7C1A0BC5A4DA}" name="Contraparte" dataDxfId="61"/>
    <tableColumn id="15" xr3:uid="{C92B55A6-0541-0546-AD19-B602DB9E9BA5}" name="Nivel de Liquidez (Lista)" totalsRowFunction="count" dataDxfId="60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3664CC0-9071-9049-B8EC-E0ECC720A275}" name="inversiones_financieras" displayName="inversiones_financieras" ref="A1:W9" totalsRowCount="1" headerRowDxfId="59" dataDxfId="58" totalsRowDxfId="57">
  <autoFilter ref="A1:W8" xr:uid="{83664CC0-9071-9049-B8EC-E0ECC720A275}"/>
  <tableColumns count="23">
    <tableColumn id="1" xr3:uid="{2B819056-3C3F-1048-A33B-95CC63B4EC68}" name="ID" totalsRowLabel="Total" dataDxfId="56"/>
    <tableColumn id="2" xr3:uid="{25B054B6-8FD9-774A-811D-8C7666780B49}" name="Nombre del Activo" dataDxfId="55"/>
    <tableColumn id="3" xr3:uid="{3955F828-B201-144A-BADD-8D576DDB5BC7}" name="Propietario" dataDxfId="54"/>
    <tableColumn id="18" xr3:uid="{1C787208-8895-4341-8517-9A3F75AC5973}" name="Geografia " dataDxfId="53"/>
    <tableColumn id="5" xr3:uid="{C1D52A7A-F0C5-FD48-8930-FBAFCED5066A}" name="Moneda (Lista)" dataDxfId="52"/>
    <tableColumn id="14" xr3:uid="{1F85CA16-6A1D-CA4B-AE99-321DCEEC7A17}" name="Asset class" dataDxfId="51" totalsRowDxfId="50" dataCellStyle="Percent"/>
    <tableColumn id="16" xr3:uid="{1A4E3565-F0FC-0042-8BD6-19BC6E820542}" name="Sub Asset class" dataDxfId="49" totalsRowDxfId="48" dataCellStyle="Percent"/>
    <tableColumn id="4" xr3:uid="{8241AA52-7137-7B40-ABCE-A2CB1D77ED61}" name="Valor (Moneda Local)" totalsRowFunction="sum" dataDxfId="47" totalsRowDxfId="46" dataCellStyle="Comma"/>
    <tableColumn id="6" xr3:uid="{362DA5F9-9419-5B49-AB20-88315FF3ABFC}" name="Tasa de Cambio" dataDxfId="45" dataCellStyle="Comma"/>
    <tableColumn id="7" xr3:uid="{94AAD13A-2F30-9545-A8B7-9E4311A8CE60}" name="Valor (USD)" totalsRowFunction="sum" dataDxfId="44" totalsRowDxfId="43" dataCellStyle="Comma">
      <calculatedColumnFormula>inversiones_financieras[[#This Row],[Valor (Moneda Local)]]/inversiones_financieras[[#This Row],[Tasa de Cambio]]</calculatedColumnFormula>
    </tableColumn>
    <tableColumn id="25" xr3:uid="{EF8196F5-8825-E145-8A64-8D86E80A426A}" name="Yield (%) " dataDxfId="42" totalsRowDxfId="41" dataCellStyle="Percent"/>
    <tableColumn id="26" xr3:uid="{4F3C8382-2D1F-1B4E-9E2E-6095557589B8}" name="Apreciación Anual (%)" dataDxfId="40" totalsRowDxfId="39" dataCellStyle="Percent"/>
    <tableColumn id="27" xr3:uid="{8C0FB5A6-2C61-9140-8762-FBFCECD99EF8}" name="Rentabilidad (%)" dataDxfId="38" totalsRowDxfId="37" dataCellStyle="Percent">
      <calculatedColumnFormula>inversiones_financieras[[#This Row],[Yield (%) ]]+inversiones_financieras[[#This Row],[Apreciación Anual (%)]]</calculatedColumnFormula>
    </tableColumn>
    <tableColumn id="13" xr3:uid="{50E32BE6-C4A8-0640-BBDE-EBC6B7B9170C}" name="Rendimiento Mensual" totalsRowFunction="sum" dataDxfId="36" totalsRowDxfId="35" dataCellStyle="Comma">
      <calculatedColumnFormula>(inversiones_financieras[[#This Row],[Valor (Moneda Local)]]*inversiones_financieras[[#This Row],[Rentabilidad (%)]])/12</calculatedColumnFormula>
    </tableColumn>
    <tableColumn id="20" xr3:uid="{E4EAA958-F92D-CA47-9EF2-A5CFF1F4D17D}" name="Management Fee Actual (%) " dataDxfId="34" totalsRowDxfId="33" dataCellStyle="Percent"/>
    <tableColumn id="21" xr3:uid="{A497169F-1202-3844-AC86-D1E68990E73A}" name="Other Costs (%) " dataDxfId="32" totalsRowDxfId="31" dataCellStyle="Percent"/>
    <tableColumn id="22" xr3:uid="{4FD2B48D-0DF0-E347-A383-FEF7F7EF6E32}" name="Total Costs (%)" dataDxfId="30" totalsRowDxfId="29" dataCellStyle="Percent">
      <calculatedColumnFormula>SUM(inversiones_financieras[[#This Row],[Management Fee Actual (%) ]:[Other Costs (%) ]])</calculatedColumnFormula>
    </tableColumn>
    <tableColumn id="23" xr3:uid="{924A7256-BD32-4140-907E-EE762D0447AC}" name="Costo mantenimiento" totalsRowFunction="sum" dataDxfId="28" totalsRowDxfId="27" dataCellStyle="Comma">
      <calculatedColumnFormula>inversiones_financieras[[#This Row],[Total Costs (%)]]*inversiones_financieras[[#This Row],[Valor (USD)]]</calculatedColumnFormula>
    </tableColumn>
    <tableColumn id="24" xr3:uid="{33AE18B5-8CC4-774B-A7E2-CFFCF9E220F7}" name="Costo Proaltus (%)" dataDxfId="26" totalsRowDxfId="25" dataCellStyle="Percent"/>
    <tableColumn id="15" xr3:uid="{9615E884-C42F-E145-8DBA-EB486AD2BADB}" name="Costo Total Proaltus ($) " totalsRowFunction="sum" dataDxfId="24" totalsRowDxfId="23" dataCellStyle="Comma [0]">
      <calculatedColumnFormula>inversiones_financieras[[#This Row],[Costo Proaltus (%)]]*inversiones_financieras[[#This Row],[Valor (USD)]]</calculatedColumnFormula>
    </tableColumn>
    <tableColumn id="9" xr3:uid="{A56EAA80-C81D-427A-9FA1-E63BE2C2F248}" name="Plazo" dataDxfId="22" totalsRowDxfId="21" dataCellStyle="Comma [0]"/>
    <tableColumn id="11" xr3:uid="{8B1945EA-CC9B-984C-844B-80F3D796DBA2}" name="Contraparte" dataDxfId="20"/>
    <tableColumn id="12" xr3:uid="{78B95A47-2EED-7B42-9D9A-6CCA3165AA48}" name="Nivel de Liquidez (Lista)" dataDxfId="19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E0F1FCE-084C-7340-BF1E-42FBE0C45AA1}" name="datos_adicionales" displayName="datos_adicionales" ref="A1:F32" totalsRowCount="1" headerRowDxfId="18" dataDxfId="17">
  <autoFilter ref="A1:F31" xr:uid="{6E0F1FCE-084C-7340-BF1E-42FBE0C45AA1}"/>
  <tableColumns count="6">
    <tableColumn id="1" xr3:uid="{F679B08E-CAFD-134C-A1A6-D87ACC2A4668}" name="ID" dataDxfId="16" totalsRowDxfId="5"/>
    <tableColumn id="2" xr3:uid="{F35A0830-007B-B645-B9AD-024A501C8A9B}" name="Categoría" dataDxfId="15" totalsRowDxfId="4"/>
    <tableColumn id="6" xr3:uid="{5A6BE088-F9D0-7146-8695-DF2E583F0590}" name="Subcategoria " dataDxfId="14" totalsRowDxfId="3"/>
    <tableColumn id="4" xr3:uid="{46C96939-6B05-CF4B-B476-13DA194D27AF}" name="Valor" dataDxfId="13" totalsRowDxfId="2" dataCellStyle="Comma"/>
    <tableColumn id="5" xr3:uid="{00B5DE03-3417-E74D-BA45-CF5CB6D22D5C}" name="Tipo de Relación" dataDxfId="12" totalsRowDxfId="1"/>
    <tableColumn id="3" xr3:uid="{20A44BE6-334C-FD49-9144-4BF367E4107C}" name="Flujo " dataDxfId="11" totalsRowDxfId="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BE25BE7-9690-1744-B378-D34170C14194}" name="inputs" displayName="inputs" ref="A1:C123" totalsRowShown="0" headerRowDxfId="10" dataDxfId="9">
  <autoFilter ref="A1:C123" xr:uid="{2BE25BE7-9690-1744-B378-D34170C14194}"/>
  <tableColumns count="3">
    <tableColumn id="1" xr3:uid="{F2C722AF-3487-6B49-8BD4-B937F5115737}" name="Categoria" dataDxfId="8"/>
    <tableColumn id="2" xr3:uid="{3134A02F-B8F0-E24C-A620-353D1CE31997}" name="Subcategoria" dataDxfId="7"/>
    <tableColumn id="3" xr3:uid="{106E5EBF-6BF0-1046-8352-72A747BFF05B}" name="Sub Asset classes 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zoomScale="92" workbookViewId="0">
      <selection activeCell="O15" sqref="O15"/>
    </sheetView>
  </sheetViews>
  <sheetFormatPr baseColWidth="10" defaultColWidth="8.83203125" defaultRowHeight="15" x14ac:dyDescent="0.2"/>
  <cols>
    <col min="1" max="1" width="10" customWidth="1"/>
    <col min="2" max="2" width="17" customWidth="1"/>
    <col min="3" max="5" width="16" customWidth="1"/>
    <col min="6" max="6" width="21.83203125" bestFit="1" customWidth="1"/>
    <col min="7" max="7" width="20.83203125" bestFit="1" customWidth="1"/>
    <col min="8" max="8" width="29.33203125" bestFit="1" customWidth="1"/>
    <col min="9" max="9" width="12" customWidth="1"/>
    <col min="10" max="11" width="25" customWidth="1"/>
    <col min="12" max="12" width="12.33203125" bestFit="1" customWidth="1"/>
    <col min="13" max="13" width="19" customWidth="1"/>
    <col min="14" max="14" width="16" customWidth="1"/>
    <col min="15" max="16" width="13" customWidth="1"/>
    <col min="17" max="17" width="15" customWidth="1"/>
    <col min="18" max="18" width="21" customWidth="1"/>
    <col min="19" max="19" width="13" customWidth="1"/>
    <col min="20" max="20" width="12" customWidth="1"/>
  </cols>
  <sheetData>
    <row r="1" spans="1:19" x14ac:dyDescent="0.2">
      <c r="A1" s="4" t="s">
        <v>0</v>
      </c>
      <c r="B1" s="4" t="s">
        <v>1</v>
      </c>
      <c r="C1" s="4" t="s">
        <v>2</v>
      </c>
      <c r="D1" s="4" t="s">
        <v>297</v>
      </c>
      <c r="E1" s="4" t="s">
        <v>4</v>
      </c>
      <c r="F1" s="46" t="s">
        <v>306</v>
      </c>
      <c r="G1" s="4" t="s">
        <v>5</v>
      </c>
      <c r="H1" s="4" t="s">
        <v>298</v>
      </c>
      <c r="I1" s="4" t="s">
        <v>3</v>
      </c>
      <c r="J1" s="46" t="s">
        <v>308</v>
      </c>
      <c r="K1" s="4" t="s">
        <v>299</v>
      </c>
      <c r="L1" s="4" t="s">
        <v>6</v>
      </c>
      <c r="M1" s="4" t="s">
        <v>7</v>
      </c>
      <c r="N1" s="4" t="s">
        <v>8</v>
      </c>
      <c r="O1" s="4" t="s">
        <v>9</v>
      </c>
    </row>
    <row r="2" spans="1:19" ht="16" x14ac:dyDescent="0.2">
      <c r="A2" s="12" t="s">
        <v>198</v>
      </c>
      <c r="B2" s="13" t="s">
        <v>199</v>
      </c>
      <c r="C2" s="13" t="s">
        <v>200</v>
      </c>
      <c r="D2" s="13" t="s">
        <v>301</v>
      </c>
      <c r="E2" s="13" t="s">
        <v>208</v>
      </c>
      <c r="F2" s="13">
        <v>450000</v>
      </c>
      <c r="G2" s="13">
        <v>4200</v>
      </c>
      <c r="H2" s="28">
        <f>empresas[[#This Row],[Valor Patrimonial (Moneda Local)]]/empresas[[#This Row],[Tasa de Cambio]]</f>
        <v>107.14285714285714</v>
      </c>
      <c r="I2" s="30">
        <v>0.15</v>
      </c>
      <c r="J2" s="13">
        <f>empresas[[#This Row],[Porcentaje]]*empresas[[#This Row],[Valor Patrimonial (Moneda Local)]]</f>
        <v>67500</v>
      </c>
      <c r="K2" s="13">
        <f>empresas[[#This Row],[Porcentaje]]*empresas[[#This Row],[Valor Patrimonial (USD)]]</f>
        <v>16.071428571428569</v>
      </c>
      <c r="L2" s="13">
        <v>2500000000</v>
      </c>
      <c r="M2" s="13">
        <v>450000000</v>
      </c>
      <c r="N2" s="13">
        <v>280000000</v>
      </c>
      <c r="O2" s="14" t="s">
        <v>202</v>
      </c>
    </row>
    <row r="3" spans="1:19" ht="16" x14ac:dyDescent="0.2">
      <c r="A3" s="15" t="s">
        <v>203</v>
      </c>
      <c r="B3" s="16" t="s">
        <v>204</v>
      </c>
      <c r="C3" s="16" t="s">
        <v>200</v>
      </c>
      <c r="D3" s="16" t="s">
        <v>301</v>
      </c>
      <c r="E3" s="16" t="s">
        <v>208</v>
      </c>
      <c r="F3" s="16">
        <v>320000</v>
      </c>
      <c r="G3" s="16">
        <v>4200</v>
      </c>
      <c r="H3" s="29">
        <f>empresas[[#This Row],[Valor Patrimonial (Moneda Local)]]/empresas[[#This Row],[Tasa de Cambio]]</f>
        <v>76.19047619047619</v>
      </c>
      <c r="I3" s="31">
        <v>0.3</v>
      </c>
      <c r="J3" s="16">
        <f>empresas[[#This Row],[Porcentaje]]*empresas[[#This Row],[Valor Patrimonial (Moneda Local)]]</f>
        <v>96000</v>
      </c>
      <c r="K3" s="16">
        <f>empresas[[#This Row],[Porcentaje]]*empresas[[#This Row],[Valor Patrimonial (USD)]]</f>
        <v>22.857142857142858</v>
      </c>
      <c r="L3" s="16">
        <v>1800000000</v>
      </c>
      <c r="M3" s="16">
        <v>320000000</v>
      </c>
      <c r="N3" s="16">
        <v>185000000</v>
      </c>
      <c r="O3" s="17" t="s">
        <v>205</v>
      </c>
    </row>
    <row r="4" spans="1:19" ht="16" x14ac:dyDescent="0.2">
      <c r="A4" s="12" t="s">
        <v>206</v>
      </c>
      <c r="B4" s="13" t="s">
        <v>207</v>
      </c>
      <c r="C4" s="13" t="s">
        <v>200</v>
      </c>
      <c r="D4" s="13" t="s">
        <v>301</v>
      </c>
      <c r="E4" s="13" t="s">
        <v>208</v>
      </c>
      <c r="F4" s="13">
        <v>800000000</v>
      </c>
      <c r="G4" s="13">
        <v>4200</v>
      </c>
      <c r="H4" s="28">
        <f>empresas[[#This Row],[Valor Patrimonial (Moneda Local)]]/empresas[[#This Row],[Tasa de Cambio]]</f>
        <v>190476.19047619047</v>
      </c>
      <c r="I4" s="30">
        <v>0.25</v>
      </c>
      <c r="J4" s="13">
        <f>empresas[[#This Row],[Porcentaje]]*empresas[[#This Row],[Valor Patrimonial (Moneda Local)]]</f>
        <v>200000000</v>
      </c>
      <c r="K4" s="13">
        <f>empresas[[#This Row],[Porcentaje]]*empresas[[#This Row],[Valor Patrimonial (USD)]]</f>
        <v>47619.047619047618</v>
      </c>
      <c r="L4" s="13">
        <v>1200000000</v>
      </c>
      <c r="M4" s="13">
        <v>180000000</v>
      </c>
      <c r="N4" s="13">
        <v>95000000</v>
      </c>
      <c r="O4" s="14" t="s">
        <v>209</v>
      </c>
    </row>
    <row r="5" spans="1:19" x14ac:dyDescent="0.2">
      <c r="A5" t="s">
        <v>44</v>
      </c>
      <c r="F5">
        <f>SUBTOTAL(109,empresas[Valor Patrimonial (Moneda Local)])</f>
        <v>800770000</v>
      </c>
      <c r="H5">
        <f>SUBTOTAL(109,empresas[Valor Patrimonial (USD)])</f>
        <v>190659.52380952382</v>
      </c>
      <c r="I5" s="33">
        <f>SUBTOTAL(109,empresas[Porcentaje])</f>
        <v>0.7</v>
      </c>
      <c r="J5">
        <f>SUBTOTAL(109,empresas[Valor Participación (Moneda Local)])</f>
        <v>200163500</v>
      </c>
      <c r="K5">
        <f>SUBTOTAL(109,empresas[Valor Participación (USD)])</f>
        <v>47657.976190476191</v>
      </c>
      <c r="L5">
        <f>SUBTOTAL(109,empresas[Ventas])</f>
        <v>5500000000</v>
      </c>
      <c r="M5">
        <f>SUBTOTAL(109,empresas[EBITDA])</f>
        <v>950000000</v>
      </c>
      <c r="N5">
        <f>SUBTOTAL(109,empresas[Utilidad Neta])</f>
        <v>560000000</v>
      </c>
    </row>
    <row r="6" spans="1:19" x14ac:dyDescent="0.2">
      <c r="A6" s="34"/>
      <c r="J6" s="34"/>
      <c r="K6" s="34"/>
      <c r="O6" s="34"/>
      <c r="P6" s="34"/>
      <c r="Q6" s="34"/>
      <c r="R6" s="34"/>
      <c r="S6" s="34"/>
    </row>
  </sheetData>
  <pageMargins left="0.75" right="0.75" top="1" bottom="1" header="0.5" footer="0.5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zoomScale="114" workbookViewId="0">
      <selection activeCell="D14" sqref="D14"/>
    </sheetView>
  </sheetViews>
  <sheetFormatPr baseColWidth="10" defaultColWidth="8.83203125" defaultRowHeight="15" x14ac:dyDescent="0.2"/>
  <cols>
    <col min="1" max="1" width="8.6640625" customWidth="1"/>
    <col min="2" max="2" width="39.5" customWidth="1"/>
    <col min="3" max="3" width="25.33203125" customWidth="1"/>
    <col min="4" max="4" width="46.83203125" customWidth="1"/>
    <col min="5" max="5" width="19.5" customWidth="1"/>
    <col min="6" max="6" width="21.83203125" customWidth="1"/>
    <col min="7" max="8" width="16" customWidth="1"/>
    <col min="9" max="9" width="40.33203125" customWidth="1"/>
    <col min="10" max="10" width="18.83203125" customWidth="1"/>
    <col min="11" max="11" width="26" bestFit="1" customWidth="1"/>
    <col min="12" max="12" width="28.33203125" bestFit="1" customWidth="1"/>
    <col min="14" max="15" width="24" customWidth="1"/>
    <col min="16" max="16" width="27" customWidth="1"/>
    <col min="17" max="17" width="24" customWidth="1"/>
  </cols>
  <sheetData>
    <row r="1" spans="1:11" x14ac:dyDescent="0.2">
      <c r="A1" s="4" t="s">
        <v>10</v>
      </c>
      <c r="B1" s="4" t="s">
        <v>11</v>
      </c>
      <c r="C1" s="4" t="s">
        <v>2</v>
      </c>
      <c r="D1" s="4" t="s">
        <v>166</v>
      </c>
      <c r="E1" s="36" t="s">
        <v>4</v>
      </c>
      <c r="F1" s="46" t="s">
        <v>303</v>
      </c>
      <c r="G1" s="4" t="s">
        <v>5</v>
      </c>
      <c r="H1" s="4" t="s">
        <v>292</v>
      </c>
      <c r="I1" s="4" t="s">
        <v>293</v>
      </c>
      <c r="J1" s="4" t="s">
        <v>12</v>
      </c>
      <c r="K1" s="4" t="s">
        <v>14</v>
      </c>
    </row>
    <row r="2" spans="1:11" x14ac:dyDescent="0.2">
      <c r="A2" t="s">
        <v>210</v>
      </c>
      <c r="B2" t="s">
        <v>211</v>
      </c>
      <c r="C2" t="s">
        <v>200</v>
      </c>
      <c r="D2" s="4" t="s">
        <v>222</v>
      </c>
      <c r="E2" t="s">
        <v>201</v>
      </c>
      <c r="F2" s="26">
        <v>300000</v>
      </c>
      <c r="G2">
        <v>1</v>
      </c>
      <c r="H2" s="35">
        <f>inversiones_no_productivas[[#This Row],[Valor (Moneda Local)]]/inversiones_no_productivas[[#This Row],[Tasa de Cambio]]</f>
        <v>300000</v>
      </c>
      <c r="I2" s="23">
        <v>12000</v>
      </c>
      <c r="J2" s="23">
        <v>3000</v>
      </c>
      <c r="K2" t="s">
        <v>224</v>
      </c>
    </row>
    <row r="3" spans="1:11" x14ac:dyDescent="0.2">
      <c r="A3" t="s">
        <v>212</v>
      </c>
      <c r="B3" t="s">
        <v>213</v>
      </c>
      <c r="C3" t="s">
        <v>200</v>
      </c>
      <c r="D3" s="4" t="s">
        <v>223</v>
      </c>
      <c r="E3" t="s">
        <v>208</v>
      </c>
      <c r="F3" s="26">
        <v>820000000</v>
      </c>
      <c r="G3">
        <v>4200</v>
      </c>
      <c r="H3" s="35">
        <f>inversiones_no_productivas[[#This Row],[Valor (Moneda Local)]]/inversiones_no_productivas[[#This Row],[Tasa de Cambio]]</f>
        <v>195238.09523809524</v>
      </c>
      <c r="I3" s="23">
        <v>18000000</v>
      </c>
      <c r="J3" s="23">
        <v>24000000</v>
      </c>
      <c r="K3" t="s">
        <v>224</v>
      </c>
    </row>
    <row r="4" spans="1:11" ht="18" customHeight="1" x14ac:dyDescent="0.2">
      <c r="A4" t="s">
        <v>214</v>
      </c>
      <c r="B4" t="s">
        <v>215</v>
      </c>
      <c r="C4" t="s">
        <v>200</v>
      </c>
      <c r="D4" s="4" t="s">
        <v>223</v>
      </c>
      <c r="E4" t="s">
        <v>208</v>
      </c>
      <c r="F4" s="26">
        <v>980000000</v>
      </c>
      <c r="G4">
        <v>4200</v>
      </c>
      <c r="H4" s="35">
        <f>inversiones_no_productivas[[#This Row],[Valor (Moneda Local)]]/inversiones_no_productivas[[#This Row],[Tasa de Cambio]]</f>
        <v>233333.33333333334</v>
      </c>
      <c r="I4" s="23">
        <v>22500000</v>
      </c>
      <c r="J4" s="23">
        <v>16000000</v>
      </c>
      <c r="K4" t="s">
        <v>224</v>
      </c>
    </row>
    <row r="5" spans="1:11" ht="15.5" customHeight="1" x14ac:dyDescent="0.2">
      <c r="A5" t="s">
        <v>216</v>
      </c>
      <c r="B5" t="s">
        <v>217</v>
      </c>
      <c r="C5" t="s">
        <v>200</v>
      </c>
      <c r="D5" s="4" t="s">
        <v>222</v>
      </c>
      <c r="E5" t="s">
        <v>201</v>
      </c>
      <c r="F5" s="26">
        <v>80000</v>
      </c>
      <c r="G5">
        <v>1</v>
      </c>
      <c r="H5" s="35">
        <f>inversiones_no_productivas[[#This Row],[Valor (Moneda Local)]]/inversiones_no_productivas[[#This Row],[Tasa de Cambio]]</f>
        <v>80000</v>
      </c>
      <c r="I5" s="23">
        <v>18000</v>
      </c>
      <c r="J5" s="23">
        <v>12000</v>
      </c>
      <c r="K5" t="s">
        <v>224</v>
      </c>
    </row>
    <row r="6" spans="1:11" ht="20" customHeight="1" x14ac:dyDescent="0.2">
      <c r="A6" t="s">
        <v>218</v>
      </c>
      <c r="B6" t="s">
        <v>219</v>
      </c>
      <c r="C6" t="s">
        <v>200</v>
      </c>
      <c r="D6" s="4" t="s">
        <v>223</v>
      </c>
      <c r="E6" t="s">
        <v>208</v>
      </c>
      <c r="F6" s="26">
        <v>120000000</v>
      </c>
      <c r="G6">
        <v>4200</v>
      </c>
      <c r="H6" s="35">
        <f>inversiones_no_productivas[[#This Row],[Valor (Moneda Local)]]/inversiones_no_productivas[[#This Row],[Tasa de Cambio]]</f>
        <v>28571.428571428572</v>
      </c>
      <c r="I6" s="23">
        <v>4000000</v>
      </c>
      <c r="J6" s="23">
        <v>0</v>
      </c>
      <c r="K6" t="s">
        <v>225</v>
      </c>
    </row>
    <row r="7" spans="1:11" ht="25" customHeight="1" x14ac:dyDescent="0.2">
      <c r="A7" t="s">
        <v>220</v>
      </c>
      <c r="B7" t="s">
        <v>221</v>
      </c>
      <c r="C7" t="s">
        <v>200</v>
      </c>
      <c r="D7" s="4" t="s">
        <v>305</v>
      </c>
      <c r="E7" t="s">
        <v>302</v>
      </c>
      <c r="F7" s="26">
        <v>750000</v>
      </c>
      <c r="G7">
        <v>0.87</v>
      </c>
      <c r="H7" s="35">
        <f>inversiones_no_productivas[[#This Row],[Valor (Moneda Local)]]/inversiones_no_productivas[[#This Row],[Tasa de Cambio]]</f>
        <v>862068.96551724139</v>
      </c>
      <c r="I7" s="23">
        <v>72000</v>
      </c>
      <c r="J7" s="23">
        <v>18000</v>
      </c>
      <c r="K7" t="s">
        <v>224</v>
      </c>
    </row>
    <row r="8" spans="1:11" x14ac:dyDescent="0.2">
      <c r="A8" t="s">
        <v>44</v>
      </c>
      <c r="F8" s="35">
        <f>SUBTOTAL(109,inversiones_no_productivas[Valor (Moneda Local)])</f>
        <v>1921130000</v>
      </c>
    </row>
    <row r="9" spans="1:11" ht="22" customHeight="1" x14ac:dyDescent="0.2"/>
    <row r="13" spans="1:11" x14ac:dyDescent="0.2">
      <c r="I13" s="18"/>
    </row>
    <row r="14" spans="1:11" x14ac:dyDescent="0.2">
      <c r="F14" s="22"/>
    </row>
    <row r="16" spans="1:11" x14ac:dyDescent="0.2">
      <c r="D16" s="27"/>
    </row>
  </sheetData>
  <phoneticPr fontId="11" type="noConversion"/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5"/>
  <sheetViews>
    <sheetView topLeftCell="H1" zoomScaleNormal="220" workbookViewId="0">
      <selection activeCell="M4" sqref="M4"/>
    </sheetView>
  </sheetViews>
  <sheetFormatPr baseColWidth="10" defaultColWidth="8.83203125" defaultRowHeight="15" x14ac:dyDescent="0.2"/>
  <cols>
    <col min="1" max="1" width="5.1640625" customWidth="1"/>
    <col min="2" max="2" width="31" customWidth="1"/>
    <col min="3" max="3" width="18" customWidth="1"/>
    <col min="4" max="4" width="29" customWidth="1"/>
    <col min="5" max="5" width="16" customWidth="1"/>
    <col min="6" max="6" width="15.33203125" bestFit="1" customWidth="1"/>
    <col min="7" max="7" width="19.1640625" bestFit="1" customWidth="1"/>
    <col min="8" max="8" width="18.1640625" bestFit="1" customWidth="1"/>
    <col min="9" max="9" width="19.83203125" bestFit="1" customWidth="1"/>
    <col min="10" max="10" width="18.1640625" bestFit="1" customWidth="1"/>
    <col min="11" max="11" width="29" customWidth="1"/>
    <col min="12" max="12" width="20.6640625" bestFit="1" customWidth="1"/>
    <col min="13" max="13" width="29" customWidth="1"/>
    <col min="14" max="14" width="23" customWidth="1"/>
    <col min="15" max="15" width="20" customWidth="1"/>
    <col min="16" max="16" width="32" customWidth="1"/>
    <col min="17" max="17" width="11.5" customWidth="1"/>
    <col min="18" max="18" width="24.33203125" customWidth="1"/>
    <col min="19" max="19" width="26.33203125" bestFit="1" customWidth="1"/>
    <col min="22" max="23" width="29" customWidth="1"/>
    <col min="24" max="24" width="18" customWidth="1"/>
    <col min="25" max="25" width="24" customWidth="1"/>
    <col min="26" max="26" width="27" customWidth="1"/>
    <col min="27" max="27" width="24.33203125" customWidth="1"/>
  </cols>
  <sheetData>
    <row r="1" spans="1:26" x14ac:dyDescent="0.2">
      <c r="A1" s="36" t="s">
        <v>10</v>
      </c>
      <c r="B1" s="36" t="s">
        <v>11</v>
      </c>
      <c r="C1" s="36" t="s">
        <v>2</v>
      </c>
      <c r="D1" s="36" t="s">
        <v>167</v>
      </c>
      <c r="E1" s="36" t="s">
        <v>4</v>
      </c>
      <c r="F1" s="36" t="s">
        <v>168</v>
      </c>
      <c r="G1" s="36" t="s">
        <v>169</v>
      </c>
      <c r="H1" s="47" t="s">
        <v>303</v>
      </c>
      <c r="I1" s="36" t="s">
        <v>5</v>
      </c>
      <c r="J1" s="36" t="s">
        <v>292</v>
      </c>
      <c r="K1" s="36" t="s">
        <v>197</v>
      </c>
      <c r="L1" s="36" t="s">
        <v>13</v>
      </c>
      <c r="M1" s="36" t="s">
        <v>196</v>
      </c>
      <c r="N1" s="36" t="s">
        <v>300</v>
      </c>
      <c r="O1" s="10" t="s">
        <v>293</v>
      </c>
      <c r="P1" s="36" t="s">
        <v>12</v>
      </c>
      <c r="Q1" s="36" t="s">
        <v>15</v>
      </c>
      <c r="R1" s="36" t="s">
        <v>16</v>
      </c>
      <c r="S1" s="36" t="s">
        <v>14</v>
      </c>
    </row>
    <row r="2" spans="1:26" ht="16" x14ac:dyDescent="0.2">
      <c r="A2" s="19" t="s">
        <v>226</v>
      </c>
      <c r="B2" s="19" t="s">
        <v>304</v>
      </c>
      <c r="C2" s="19" t="s">
        <v>200</v>
      </c>
      <c r="D2" s="7" t="s">
        <v>305</v>
      </c>
      <c r="E2" s="19" t="s">
        <v>302</v>
      </c>
      <c r="F2" s="19" t="s">
        <v>250</v>
      </c>
      <c r="G2" s="19" t="s">
        <v>178</v>
      </c>
      <c r="H2" s="25">
        <v>450000</v>
      </c>
      <c r="I2" s="25">
        <v>0.87</v>
      </c>
      <c r="J2" s="25">
        <f>inversiones_productivas[[#This Row],[Valor (Moneda Local)]]/inversiones_productivas[[#This Row],[Tasa de Cambio]]</f>
        <v>517241.37931034481</v>
      </c>
      <c r="K2" s="9">
        <v>0.09</v>
      </c>
      <c r="L2" s="9">
        <v>0.04</v>
      </c>
      <c r="M2" s="8">
        <f>inversiones_productivas[[#This Row],[Yield (%) ]]+inversiones_productivas[[#This Row],[Apreciación Anual (%)]]</f>
        <v>0.13</v>
      </c>
      <c r="N2" s="37">
        <f>(inversiones_productivas[[#This Row],[Rentabilidad (%) ]]*inversiones_productivas[[#This Row],[Valor (USD)]])/12</f>
        <v>5603.4482758620688</v>
      </c>
      <c r="O2" s="38">
        <v>0</v>
      </c>
      <c r="P2" s="32">
        <v>24000</v>
      </c>
      <c r="Q2" s="19">
        <v>15</v>
      </c>
      <c r="R2" s="19"/>
      <c r="S2" s="19" t="s">
        <v>225</v>
      </c>
    </row>
    <row r="3" spans="1:26" ht="16" x14ac:dyDescent="0.2">
      <c r="A3" s="19" t="s">
        <v>227</v>
      </c>
      <c r="B3" s="19" t="s">
        <v>228</v>
      </c>
      <c r="C3" s="19" t="s">
        <v>200</v>
      </c>
      <c r="D3" s="7" t="s">
        <v>311</v>
      </c>
      <c r="E3" s="19" t="s">
        <v>208</v>
      </c>
      <c r="F3" s="19" t="s">
        <v>250</v>
      </c>
      <c r="G3" s="19" t="s">
        <v>178</v>
      </c>
      <c r="H3" s="25">
        <v>1950000000</v>
      </c>
      <c r="I3" s="25">
        <v>4200</v>
      </c>
      <c r="J3" s="25">
        <f>inversiones_productivas[[#This Row],[Valor (Moneda Local)]]/inversiones_productivas[[#This Row],[Tasa de Cambio]]</f>
        <v>464285.71428571426</v>
      </c>
      <c r="K3" s="9">
        <v>0.182</v>
      </c>
      <c r="L3" s="9">
        <v>0.04</v>
      </c>
      <c r="M3" s="8">
        <f>inversiones_productivas[[#This Row],[Yield (%) ]]+inversiones_productivas[[#This Row],[Apreciación Anual (%)]]</f>
        <v>0.222</v>
      </c>
      <c r="N3" s="37">
        <f>(inversiones_productivas[[#This Row],[Rentabilidad (%) ]]*inversiones_productivas[[#This Row],[Valor (USD)]])/12</f>
        <v>8589.2857142857138</v>
      </c>
      <c r="O3" s="38">
        <v>30000000</v>
      </c>
      <c r="P3" s="32">
        <v>28000000</v>
      </c>
      <c r="Q3" s="19">
        <v>12</v>
      </c>
      <c r="R3" s="19"/>
      <c r="S3" s="19" t="s">
        <v>225</v>
      </c>
    </row>
    <row r="4" spans="1:26" ht="16" x14ac:dyDescent="0.2">
      <c r="A4" s="19" t="s">
        <v>229</v>
      </c>
      <c r="B4" s="19" t="s">
        <v>230</v>
      </c>
      <c r="C4" s="19" t="s">
        <v>200</v>
      </c>
      <c r="D4" s="7" t="s">
        <v>311</v>
      </c>
      <c r="E4" s="19" t="s">
        <v>208</v>
      </c>
      <c r="F4" s="19" t="s">
        <v>250</v>
      </c>
      <c r="G4" s="19" t="s">
        <v>177</v>
      </c>
      <c r="H4" s="25">
        <v>1400000000</v>
      </c>
      <c r="I4" s="25">
        <v>4200</v>
      </c>
      <c r="J4" s="25">
        <f>inversiones_productivas[[#This Row],[Valor (Moneda Local)]]/inversiones_productivas[[#This Row],[Tasa de Cambio]]</f>
        <v>333333.33333333331</v>
      </c>
      <c r="K4" s="9">
        <v>0.22500000000000001</v>
      </c>
      <c r="L4" s="9">
        <v>0.06</v>
      </c>
      <c r="M4" s="8">
        <f>inversiones_productivas[[#This Row],[Yield (%) ]]+inversiones_productivas[[#This Row],[Apreciación Anual (%)]]</f>
        <v>0.28500000000000003</v>
      </c>
      <c r="N4" s="37">
        <f>(inversiones_productivas[[#This Row],[Rentabilidad (%) ]]*inversiones_productivas[[#This Row],[Valor (USD)]])/12</f>
        <v>7916.666666666667</v>
      </c>
      <c r="O4" s="38">
        <v>25000000</v>
      </c>
      <c r="P4" s="32">
        <v>20000000</v>
      </c>
      <c r="Q4" s="19">
        <v>8</v>
      </c>
      <c r="R4" s="19"/>
      <c r="S4" s="19" t="s">
        <v>225</v>
      </c>
    </row>
    <row r="5" spans="1:26" ht="16" x14ac:dyDescent="0.2">
      <c r="A5" s="19" t="s">
        <v>231</v>
      </c>
      <c r="B5" s="19" t="s">
        <v>232</v>
      </c>
      <c r="C5" s="19" t="s">
        <v>200</v>
      </c>
      <c r="D5" s="7" t="s">
        <v>222</v>
      </c>
      <c r="E5" s="19" t="s">
        <v>201</v>
      </c>
      <c r="F5" s="19" t="s">
        <v>250</v>
      </c>
      <c r="G5" s="19" t="s">
        <v>178</v>
      </c>
      <c r="H5" s="25">
        <v>850000</v>
      </c>
      <c r="I5" s="25">
        <v>1</v>
      </c>
      <c r="J5" s="25">
        <f>inversiones_productivas[[#This Row],[Valor (Moneda Local)]]/inversiones_productivas[[#This Row],[Tasa de Cambio]]</f>
        <v>850000</v>
      </c>
      <c r="K5" s="9">
        <v>0.12</v>
      </c>
      <c r="L5" s="9">
        <v>0.03</v>
      </c>
      <c r="M5" s="8">
        <f>inversiones_productivas[[#This Row],[Yield (%) ]]+inversiones_productivas[[#This Row],[Apreciación Anual (%)]]</f>
        <v>0.15</v>
      </c>
      <c r="N5" s="37">
        <f>(inversiones_productivas[[#This Row],[Rentabilidad (%) ]]*inversiones_productivas[[#This Row],[Valor (USD)]])/12</f>
        <v>10625</v>
      </c>
      <c r="O5" s="38">
        <v>22000</v>
      </c>
      <c r="P5" s="32">
        <v>26000</v>
      </c>
      <c r="Q5" s="19">
        <v>20</v>
      </c>
      <c r="R5" s="19"/>
      <c r="S5" s="19" t="s">
        <v>224</v>
      </c>
    </row>
    <row r="6" spans="1:26" x14ac:dyDescent="0.2">
      <c r="A6" t="s">
        <v>44</v>
      </c>
      <c r="D6" s="39"/>
      <c r="H6" s="40">
        <f>SUBTOTAL(109,inversiones_productivas[Valor (Moneda Local)])</f>
        <v>3351300000</v>
      </c>
      <c r="J6" s="44">
        <f>SUBTOTAL(109,inversiones_productivas[Valor (USD)])</f>
        <v>2164860.4269293924</v>
      </c>
      <c r="K6" s="39"/>
      <c r="L6" s="39"/>
      <c r="M6" s="39"/>
      <c r="N6" s="39">
        <f>SUBTOTAL(109,inversiones_productivas[Rendimiento Mensual])</f>
        <v>32734.40065681445</v>
      </c>
      <c r="P6" s="45">
        <f>SUBTOTAL(109,inversiones_productivas[Impuestos])</f>
        <v>48050000</v>
      </c>
      <c r="S6">
        <f>SUBTOTAL(103,inversiones_productivas[Nivel de Liquidez (Lista)])</f>
        <v>4</v>
      </c>
    </row>
    <row r="8" spans="1:26" x14ac:dyDescent="0.2">
      <c r="Z8" s="41"/>
    </row>
    <row r="9" spans="1:26" x14ac:dyDescent="0.2">
      <c r="B9">
        <f>J2/$J$6</f>
        <v>0.23892597087378642</v>
      </c>
      <c r="C9">
        <f>B9*M2</f>
        <v>3.1060376213592235E-2</v>
      </c>
    </row>
    <row r="10" spans="1:26" x14ac:dyDescent="0.2">
      <c r="B10">
        <f t="shared" ref="B10:B12" si="0">J3/$J$6</f>
        <v>0.21446450242718446</v>
      </c>
      <c r="C10">
        <f t="shared" ref="C10:C12" si="1">B10*M3</f>
        <v>4.7611119538834949E-2</v>
      </c>
    </row>
    <row r="11" spans="1:26" x14ac:dyDescent="0.2">
      <c r="B11">
        <f t="shared" si="0"/>
        <v>0.15397451456310679</v>
      </c>
      <c r="C11">
        <f t="shared" si="1"/>
        <v>4.3882736650485442E-2</v>
      </c>
    </row>
    <row r="12" spans="1:26" x14ac:dyDescent="0.2">
      <c r="B12">
        <f t="shared" si="0"/>
        <v>0.39263501213592233</v>
      </c>
      <c r="C12">
        <f t="shared" si="1"/>
        <v>5.889525182038835E-2</v>
      </c>
    </row>
    <row r="13" spans="1:26" x14ac:dyDescent="0.2">
      <c r="C13">
        <f>SUM(C9:C12)*100</f>
        <v>18.144948422330099</v>
      </c>
      <c r="M13" s="18"/>
      <c r="V13" s="18"/>
    </row>
    <row r="16" spans="1:26" x14ac:dyDescent="0.2">
      <c r="O16" s="18"/>
    </row>
    <row r="21" spans="10:16" x14ac:dyDescent="0.2">
      <c r="J21" s="18"/>
      <c r="O21" s="18"/>
      <c r="P21" s="18"/>
    </row>
    <row r="22" spans="10:16" x14ac:dyDescent="0.2">
      <c r="O22" s="42"/>
      <c r="P22" s="43"/>
    </row>
    <row r="23" spans="10:16" x14ac:dyDescent="0.2">
      <c r="O23" s="42"/>
      <c r="P23" s="43"/>
    </row>
    <row r="24" spans="10:16" x14ac:dyDescent="0.2">
      <c r="O24" s="42"/>
      <c r="P24" s="43"/>
    </row>
    <row r="25" spans="10:16" x14ac:dyDescent="0.2">
      <c r="O25" s="42"/>
      <c r="P25" s="43"/>
    </row>
  </sheetData>
  <phoneticPr fontId="11" type="noConversion"/>
  <pageMargins left="0.75" right="0.75" top="1" bottom="1" header="0.5" footer="0.5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4"/>
  <sheetViews>
    <sheetView topLeftCell="B1" zoomScale="112" workbookViewId="0">
      <selection activeCell="L7" sqref="L7"/>
    </sheetView>
  </sheetViews>
  <sheetFormatPr baseColWidth="10" defaultColWidth="8.83203125" defaultRowHeight="15" x14ac:dyDescent="0.2"/>
  <cols>
    <col min="1" max="1" width="5.1640625" customWidth="1"/>
    <col min="2" max="2" width="27" customWidth="1"/>
    <col min="3" max="3" width="17" customWidth="1"/>
    <col min="4" max="4" width="14.33203125" bestFit="1" customWidth="1"/>
    <col min="5" max="5" width="18.33203125" bestFit="1" customWidth="1"/>
    <col min="6" max="7" width="23" customWidth="1"/>
    <col min="8" max="8" width="16" customWidth="1"/>
    <col min="9" max="9" width="18.83203125" bestFit="1" customWidth="1"/>
    <col min="10" max="10" width="16" customWidth="1"/>
    <col min="11" max="12" width="23" style="9" customWidth="1"/>
    <col min="13" max="13" width="23" customWidth="1"/>
    <col min="14" max="14" width="20" bestFit="1" customWidth="1"/>
    <col min="15" max="15" width="30.83203125" bestFit="1" customWidth="1"/>
    <col min="16" max="16" width="19.33203125" bestFit="1" customWidth="1"/>
    <col min="17" max="18" width="23" customWidth="1"/>
    <col min="19" max="19" width="29" style="9" customWidth="1"/>
    <col min="20" max="21" width="23" style="9" customWidth="1"/>
    <col min="22" max="22" width="17.33203125" bestFit="1" customWidth="1"/>
    <col min="23" max="23" width="25.83203125" bestFit="1" customWidth="1"/>
    <col min="25" max="27" width="23" customWidth="1"/>
    <col min="28" max="28" width="29" customWidth="1"/>
    <col min="29" max="29" width="20" customWidth="1"/>
    <col min="30" max="30" width="27" customWidth="1"/>
  </cols>
  <sheetData>
    <row r="1" spans="1:23" x14ac:dyDescent="0.2">
      <c r="A1" s="36" t="s">
        <v>10</v>
      </c>
      <c r="B1" s="36" t="s">
        <v>11</v>
      </c>
      <c r="C1" s="36" t="s">
        <v>2</v>
      </c>
      <c r="D1" s="36" t="s">
        <v>166</v>
      </c>
      <c r="E1" s="36" t="s">
        <v>4</v>
      </c>
      <c r="F1" s="36" t="s">
        <v>168</v>
      </c>
      <c r="G1" s="36" t="s">
        <v>169</v>
      </c>
      <c r="H1" s="47" t="s">
        <v>303</v>
      </c>
      <c r="I1" s="36" t="s">
        <v>5</v>
      </c>
      <c r="J1" s="36" t="s">
        <v>292</v>
      </c>
      <c r="K1" s="11" t="s">
        <v>197</v>
      </c>
      <c r="L1" s="11" t="s">
        <v>13</v>
      </c>
      <c r="M1" s="11" t="s">
        <v>195</v>
      </c>
      <c r="N1" s="36" t="s">
        <v>300</v>
      </c>
      <c r="O1" s="10" t="s">
        <v>296</v>
      </c>
      <c r="P1" s="10" t="s">
        <v>191</v>
      </c>
      <c r="Q1" s="10" t="s">
        <v>192</v>
      </c>
      <c r="R1" s="48" t="s">
        <v>293</v>
      </c>
      <c r="S1" s="10" t="s">
        <v>193</v>
      </c>
      <c r="T1" s="10" t="s">
        <v>194</v>
      </c>
      <c r="U1" s="11" t="s">
        <v>294</v>
      </c>
      <c r="V1" s="36" t="s">
        <v>16</v>
      </c>
      <c r="W1" s="36" t="s">
        <v>14</v>
      </c>
    </row>
    <row r="2" spans="1:23" x14ac:dyDescent="0.2">
      <c r="A2" t="s">
        <v>234</v>
      </c>
      <c r="B2" t="s">
        <v>235</v>
      </c>
      <c r="C2" t="s">
        <v>200</v>
      </c>
      <c r="D2" t="s">
        <v>233</v>
      </c>
      <c r="E2" t="s">
        <v>208</v>
      </c>
      <c r="F2" t="s">
        <v>248</v>
      </c>
      <c r="G2" t="s">
        <v>187</v>
      </c>
      <c r="H2" s="26">
        <v>1200000000</v>
      </c>
      <c r="I2" s="22">
        <v>4200</v>
      </c>
      <c r="J2" s="26">
        <f>inversiones_financieras[[#This Row],[Valor (Moneda Local)]]/inversiones_financieras[[#This Row],[Tasa de Cambio]]</f>
        <v>285714.28571428574</v>
      </c>
      <c r="K2" s="21">
        <v>0.09</v>
      </c>
      <c r="L2" s="21">
        <v>0</v>
      </c>
      <c r="M2" s="8">
        <f>inversiones_financieras[[#This Row],[Yield (%) ]]+inversiones_financieras[[#This Row],[Apreciación Anual (%)]]</f>
        <v>0.09</v>
      </c>
      <c r="N2" s="22">
        <f>(inversiones_financieras[[#This Row],[Valor (Moneda Local)]]*inversiones_financieras[[#This Row],[Rentabilidad (%)]])/12</f>
        <v>9000000</v>
      </c>
      <c r="O2" s="42">
        <v>5.0000000000000001E-3</v>
      </c>
      <c r="P2" s="42">
        <v>2E-3</v>
      </c>
      <c r="Q2" s="8">
        <f>SUM(inversiones_financieras[[#This Row],[Management Fee Actual (%) ]:[Other Costs (%) ]])</f>
        <v>7.0000000000000001E-3</v>
      </c>
      <c r="R2" s="24">
        <f>inversiones_financieras[[#This Row],[Total Costs (%)]]*inversiones_financieras[[#This Row],[Valor (USD)]]</f>
        <v>2000.0000000000002</v>
      </c>
      <c r="S2" s="20">
        <v>3.0000000000000001E-3</v>
      </c>
      <c r="T2" s="7">
        <f>inversiones_financieras[[#This Row],[Costo Proaltus (%)]]*inversiones_financieras[[#This Row],[Valor (USD)]]</f>
        <v>857.14285714285722</v>
      </c>
      <c r="U2" s="7">
        <v>1</v>
      </c>
      <c r="V2" t="s">
        <v>252</v>
      </c>
      <c r="W2" t="s">
        <v>225</v>
      </c>
    </row>
    <row r="3" spans="1:23" x14ac:dyDescent="0.2">
      <c r="A3" t="s">
        <v>236</v>
      </c>
      <c r="B3" t="s">
        <v>237</v>
      </c>
      <c r="C3" t="s">
        <v>200</v>
      </c>
      <c r="D3" t="s">
        <v>233</v>
      </c>
      <c r="E3" t="s">
        <v>208</v>
      </c>
      <c r="F3" t="s">
        <v>249</v>
      </c>
      <c r="G3" t="s">
        <v>175</v>
      </c>
      <c r="H3" s="26">
        <v>850000000</v>
      </c>
      <c r="I3" s="22">
        <v>4200</v>
      </c>
      <c r="J3" s="26">
        <f>inversiones_financieras[[#This Row],[Valor (Moneda Local)]]/inversiones_financieras[[#This Row],[Tasa de Cambio]]</f>
        <v>202380.95238095237</v>
      </c>
      <c r="K3" s="21">
        <v>0.02</v>
      </c>
      <c r="L3" s="21">
        <v>0.1</v>
      </c>
      <c r="M3" s="8">
        <f>inversiones_financieras[[#This Row],[Yield (%) ]]+inversiones_financieras[[#This Row],[Apreciación Anual (%)]]</f>
        <v>0.12000000000000001</v>
      </c>
      <c r="N3" s="22">
        <f>(inversiones_financieras[[#This Row],[Valor (Moneda Local)]]*inversiones_financieras[[#This Row],[Rentabilidad (%)]])/12</f>
        <v>8500000.0000000019</v>
      </c>
      <c r="O3" s="42">
        <v>1.4999999999999999E-2</v>
      </c>
      <c r="P3" s="42">
        <v>5.0000000000000001E-3</v>
      </c>
      <c r="Q3" s="8">
        <f>SUM(inversiones_financieras[[#This Row],[Management Fee Actual (%) ]:[Other Costs (%) ]])</f>
        <v>0.02</v>
      </c>
      <c r="R3" s="24">
        <f>inversiones_financieras[[#This Row],[Total Costs (%)]]*inversiones_financieras[[#This Row],[Valor (USD)]]</f>
        <v>4047.6190476190473</v>
      </c>
      <c r="S3" s="20">
        <v>0.01</v>
      </c>
      <c r="T3" s="7">
        <f>inversiones_financieras[[#This Row],[Costo Proaltus (%)]]*inversiones_financieras[[#This Row],[Valor (USD)]]</f>
        <v>2023.8095238095236</v>
      </c>
      <c r="U3" s="7">
        <v>3</v>
      </c>
      <c r="V3" t="s">
        <v>253</v>
      </c>
      <c r="W3" t="s">
        <v>225</v>
      </c>
    </row>
    <row r="4" spans="1:23" x14ac:dyDescent="0.2">
      <c r="A4" t="s">
        <v>238</v>
      </c>
      <c r="B4" t="s">
        <v>239</v>
      </c>
      <c r="C4" t="s">
        <v>200</v>
      </c>
      <c r="D4" t="s">
        <v>233</v>
      </c>
      <c r="E4" t="s">
        <v>208</v>
      </c>
      <c r="F4" t="s">
        <v>249</v>
      </c>
      <c r="G4" t="s">
        <v>175</v>
      </c>
      <c r="H4" s="26">
        <v>650000000</v>
      </c>
      <c r="I4" s="22">
        <v>4200</v>
      </c>
      <c r="J4" s="26">
        <f>inversiones_financieras[[#This Row],[Valor (Moneda Local)]]/inversiones_financieras[[#This Row],[Tasa de Cambio]]</f>
        <v>154761.90476190476</v>
      </c>
      <c r="K4" s="21">
        <v>0.02</v>
      </c>
      <c r="L4" s="21">
        <v>0.14000000000000001</v>
      </c>
      <c r="M4" s="8">
        <f>inversiones_financieras[[#This Row],[Yield (%) ]]+inversiones_financieras[[#This Row],[Apreciación Anual (%)]]</f>
        <v>0.16</v>
      </c>
      <c r="N4" s="22">
        <f>(inversiones_financieras[[#This Row],[Valor (Moneda Local)]]*inversiones_financieras[[#This Row],[Rentabilidad (%)]])/12</f>
        <v>8666666.666666666</v>
      </c>
      <c r="O4" s="42">
        <v>0.02</v>
      </c>
      <c r="P4" s="42">
        <v>5.0000000000000001E-3</v>
      </c>
      <c r="Q4" s="8">
        <f>SUM(inversiones_financieras[[#This Row],[Management Fee Actual (%) ]:[Other Costs (%) ]])</f>
        <v>2.5000000000000001E-2</v>
      </c>
      <c r="R4" s="24">
        <f>inversiones_financieras[[#This Row],[Total Costs (%)]]*inversiones_financieras[[#This Row],[Valor (USD)]]</f>
        <v>3869.0476190476193</v>
      </c>
      <c r="S4" s="20">
        <v>1.4999999999999999E-2</v>
      </c>
      <c r="T4" s="7">
        <f>inversiones_financieras[[#This Row],[Costo Proaltus (%)]]*inversiones_financieras[[#This Row],[Valor (USD)]]</f>
        <v>2321.4285714285716</v>
      </c>
      <c r="U4" s="7">
        <v>8</v>
      </c>
      <c r="V4" t="s">
        <v>254</v>
      </c>
      <c r="W4" t="s">
        <v>251</v>
      </c>
    </row>
    <row r="5" spans="1:23" x14ac:dyDescent="0.2">
      <c r="A5" t="s">
        <v>240</v>
      </c>
      <c r="B5" t="s">
        <v>241</v>
      </c>
      <c r="C5" t="s">
        <v>200</v>
      </c>
      <c r="D5" t="s">
        <v>222</v>
      </c>
      <c r="E5" t="s">
        <v>201</v>
      </c>
      <c r="F5" t="s">
        <v>248</v>
      </c>
      <c r="G5" t="s">
        <v>186</v>
      </c>
      <c r="H5" s="26">
        <v>450000</v>
      </c>
      <c r="I5" s="22">
        <v>1</v>
      </c>
      <c r="J5" s="26">
        <f>inversiones_financieras[[#This Row],[Valor (Moneda Local)]]/inversiones_financieras[[#This Row],[Tasa de Cambio]]</f>
        <v>450000</v>
      </c>
      <c r="K5" s="21">
        <v>0.04</v>
      </c>
      <c r="L5" s="21">
        <v>0</v>
      </c>
      <c r="M5" s="8">
        <f>inversiones_financieras[[#This Row],[Yield (%) ]]+inversiones_financieras[[#This Row],[Apreciación Anual (%)]]</f>
        <v>0.04</v>
      </c>
      <c r="N5" s="22">
        <f>(inversiones_financieras[[#This Row],[Valor (Moneda Local)]]*inversiones_financieras[[#This Row],[Rentabilidad (%)]])/12</f>
        <v>1500</v>
      </c>
      <c r="O5" s="42">
        <v>8.0000000000000002E-3</v>
      </c>
      <c r="P5" s="42">
        <v>2E-3</v>
      </c>
      <c r="Q5" s="8">
        <f>SUM(inversiones_financieras[[#This Row],[Management Fee Actual (%) ]:[Other Costs (%) ]])</f>
        <v>0.01</v>
      </c>
      <c r="R5" s="24">
        <f>inversiones_financieras[[#This Row],[Total Costs (%)]]*inversiones_financieras[[#This Row],[Valor (USD)]]</f>
        <v>4500</v>
      </c>
      <c r="S5" s="20">
        <v>5.0000000000000001E-3</v>
      </c>
      <c r="T5" s="7">
        <f>inversiones_financieras[[#This Row],[Costo Proaltus (%)]]*inversiones_financieras[[#This Row],[Valor (USD)]]</f>
        <v>2250</v>
      </c>
      <c r="U5" s="7">
        <v>1</v>
      </c>
      <c r="V5" t="s">
        <v>255</v>
      </c>
      <c r="W5" t="s">
        <v>251</v>
      </c>
    </row>
    <row r="6" spans="1:23" x14ac:dyDescent="0.2">
      <c r="A6" t="s">
        <v>242</v>
      </c>
      <c r="B6" t="s">
        <v>243</v>
      </c>
      <c r="C6" t="s">
        <v>200</v>
      </c>
      <c r="D6" t="s">
        <v>222</v>
      </c>
      <c r="E6" t="s">
        <v>208</v>
      </c>
      <c r="F6" t="s">
        <v>249</v>
      </c>
      <c r="G6" t="s">
        <v>175</v>
      </c>
      <c r="H6" s="26">
        <v>120000</v>
      </c>
      <c r="I6" s="22">
        <v>1</v>
      </c>
      <c r="J6" s="26">
        <f>inversiones_financieras[[#This Row],[Valor (Moneda Local)]]/inversiones_financieras[[#This Row],[Tasa de Cambio]]</f>
        <v>120000</v>
      </c>
      <c r="K6" s="21">
        <v>0.01</v>
      </c>
      <c r="L6" s="21">
        <v>0.09</v>
      </c>
      <c r="M6" s="8">
        <f>inversiones_financieras[[#This Row],[Yield (%) ]]+inversiones_financieras[[#This Row],[Apreciación Anual (%)]]</f>
        <v>9.9999999999999992E-2</v>
      </c>
      <c r="N6" s="22">
        <f>(inversiones_financieras[[#This Row],[Valor (Moneda Local)]]*inversiones_financieras[[#This Row],[Rentabilidad (%)]])/12</f>
        <v>999.99999999999989</v>
      </c>
      <c r="O6" s="42">
        <v>0.01</v>
      </c>
      <c r="P6" s="42">
        <v>3.0000000000000001E-3</v>
      </c>
      <c r="Q6" s="8">
        <f>SUM(inversiones_financieras[[#This Row],[Management Fee Actual (%) ]:[Other Costs (%) ]])</f>
        <v>1.3000000000000001E-2</v>
      </c>
      <c r="R6" s="24">
        <f>inversiones_financieras[[#This Row],[Total Costs (%)]]*inversiones_financieras[[#This Row],[Valor (USD)]]</f>
        <v>1560.0000000000002</v>
      </c>
      <c r="S6" s="20">
        <v>7.0000000000000001E-3</v>
      </c>
      <c r="T6" s="7">
        <f>inversiones_financieras[[#This Row],[Costo Proaltus (%)]]*inversiones_financieras[[#This Row],[Valor (USD)]]</f>
        <v>840</v>
      </c>
      <c r="U6" s="7">
        <v>3</v>
      </c>
      <c r="V6" t="s">
        <v>256</v>
      </c>
      <c r="W6" t="s">
        <v>251</v>
      </c>
    </row>
    <row r="7" spans="1:23" x14ac:dyDescent="0.2">
      <c r="A7" t="s">
        <v>244</v>
      </c>
      <c r="B7" t="s">
        <v>245</v>
      </c>
      <c r="C7" t="s">
        <v>200</v>
      </c>
      <c r="D7" t="s">
        <v>233</v>
      </c>
      <c r="E7" t="s">
        <v>208</v>
      </c>
      <c r="F7" t="s">
        <v>248</v>
      </c>
      <c r="G7" t="s">
        <v>187</v>
      </c>
      <c r="H7" s="26">
        <v>380000000</v>
      </c>
      <c r="I7" s="22">
        <v>4200</v>
      </c>
      <c r="J7" s="26">
        <f>inversiones_financieras[[#This Row],[Valor (Moneda Local)]]/inversiones_financieras[[#This Row],[Tasa de Cambio]]</f>
        <v>90476.190476190473</v>
      </c>
      <c r="K7" s="21">
        <v>7.0000000000000007E-2</v>
      </c>
      <c r="L7" s="21">
        <v>0</v>
      </c>
      <c r="M7" s="8">
        <f>inversiones_financieras[[#This Row],[Yield (%) ]]+inversiones_financieras[[#This Row],[Apreciación Anual (%)]]</f>
        <v>7.0000000000000007E-2</v>
      </c>
      <c r="N7" s="22">
        <f>(inversiones_financieras[[#This Row],[Valor (Moneda Local)]]*inversiones_financieras[[#This Row],[Rentabilidad (%)]])/12</f>
        <v>2216666.666666667</v>
      </c>
      <c r="O7" s="42">
        <v>2E-3</v>
      </c>
      <c r="P7" s="42">
        <v>1E-3</v>
      </c>
      <c r="Q7" s="8">
        <f>SUM(inversiones_financieras[[#This Row],[Management Fee Actual (%) ]:[Other Costs (%) ]])</f>
        <v>3.0000000000000001E-3</v>
      </c>
      <c r="R7" s="24">
        <f>inversiones_financieras[[#This Row],[Total Costs (%)]]*inversiones_financieras[[#This Row],[Valor (USD)]]</f>
        <v>271.42857142857144</v>
      </c>
      <c r="S7" s="20">
        <v>1E-3</v>
      </c>
      <c r="T7" s="7">
        <f>inversiones_financieras[[#This Row],[Costo Proaltus (%)]]*inversiones_financieras[[#This Row],[Valor (USD)]]</f>
        <v>90.476190476190482</v>
      </c>
      <c r="U7" s="7">
        <v>6</v>
      </c>
      <c r="V7" t="s">
        <v>257</v>
      </c>
      <c r="W7" t="s">
        <v>251</v>
      </c>
    </row>
    <row r="8" spans="1:23" x14ac:dyDescent="0.2">
      <c r="A8" t="s">
        <v>246</v>
      </c>
      <c r="B8" t="s">
        <v>247</v>
      </c>
      <c r="C8" t="s">
        <v>200</v>
      </c>
      <c r="D8" t="s">
        <v>223</v>
      </c>
      <c r="E8" t="s">
        <v>208</v>
      </c>
      <c r="F8" t="s">
        <v>250</v>
      </c>
      <c r="G8" t="s">
        <v>178</v>
      </c>
      <c r="H8" s="26">
        <v>920000000</v>
      </c>
      <c r="I8" s="22">
        <v>4200</v>
      </c>
      <c r="J8" s="26">
        <f>inversiones_financieras[[#This Row],[Valor (Moneda Local)]]/inversiones_financieras[[#This Row],[Tasa de Cambio]]</f>
        <v>219047.61904761905</v>
      </c>
      <c r="K8" s="21">
        <v>0.06</v>
      </c>
      <c r="L8" s="21">
        <v>0.04</v>
      </c>
      <c r="M8" s="8">
        <f>inversiones_financieras[[#This Row],[Yield (%) ]]+inversiones_financieras[[#This Row],[Apreciación Anual (%)]]</f>
        <v>0.1</v>
      </c>
      <c r="N8" s="22">
        <f>(inversiones_financieras[[#This Row],[Valor (Moneda Local)]]*inversiones_financieras[[#This Row],[Rentabilidad (%)]])/12</f>
        <v>7666666.666666667</v>
      </c>
      <c r="O8" s="42">
        <v>0.02</v>
      </c>
      <c r="P8" s="42">
        <v>0.01</v>
      </c>
      <c r="Q8" s="8">
        <f>SUM(inversiones_financieras[[#This Row],[Management Fee Actual (%) ]:[Other Costs (%) ]])</f>
        <v>0.03</v>
      </c>
      <c r="R8" s="24">
        <f>inversiones_financieras[[#This Row],[Total Costs (%)]]*inversiones_financieras[[#This Row],[Valor (USD)]]</f>
        <v>6571.4285714285716</v>
      </c>
      <c r="S8" s="20">
        <v>1.4999999999999999E-2</v>
      </c>
      <c r="T8" s="7">
        <f>inversiones_financieras[[#This Row],[Costo Proaltus (%)]]*inversiones_financieras[[#This Row],[Valor (USD)]]</f>
        <v>3285.7142857142858</v>
      </c>
      <c r="U8" s="7">
        <v>7</v>
      </c>
      <c r="V8" t="s">
        <v>258</v>
      </c>
      <c r="W8" t="s">
        <v>224</v>
      </c>
    </row>
    <row r="9" spans="1:23" x14ac:dyDescent="0.2">
      <c r="A9" t="s">
        <v>44</v>
      </c>
      <c r="F9" s="33"/>
      <c r="G9" s="33"/>
      <c r="H9" s="35">
        <f>SUBTOTAL(109,inversiones_financieras[Valor (Moneda Local)])</f>
        <v>4000570000</v>
      </c>
      <c r="J9" s="35">
        <f>SUBTOTAL(109,inversiones_financieras[Valor (USD)])</f>
        <v>1522380.9523809524</v>
      </c>
      <c r="K9" s="39"/>
      <c r="L9" s="39"/>
      <c r="M9" s="39"/>
      <c r="N9" s="39">
        <f>SUBTOTAL(109,inversiones_financieras[Rendimiento Mensual])</f>
        <v>36052500</v>
      </c>
      <c r="O9" s="33"/>
      <c r="P9" s="33"/>
      <c r="Q9" s="33"/>
      <c r="R9" s="51">
        <f>SUBTOTAL(109,inversiones_financieras[Costo mantenimiento])</f>
        <v>22819.523809523809</v>
      </c>
      <c r="S9" s="33"/>
      <c r="T9" s="50">
        <f>SUBTOTAL(109,inversiones_financieras[Costo Total Proaltus ($) ])</f>
        <v>11668.571428571429</v>
      </c>
      <c r="U9" s="39"/>
    </row>
    <row r="11" spans="1:23" x14ac:dyDescent="0.2">
      <c r="R11" s="49" t="s">
        <v>309</v>
      </c>
    </row>
    <row r="12" spans="1:23" x14ac:dyDescent="0.2">
      <c r="B12">
        <f>J2/inversiones_financieras[[#Totals],[Valor (USD)]]</f>
        <v>0.1876759461995621</v>
      </c>
      <c r="C12">
        <f>B12*M2</f>
        <v>1.6890835157960589E-2</v>
      </c>
    </row>
    <row r="13" spans="1:23" x14ac:dyDescent="0.2">
      <c r="B13">
        <f>J3/inversiones_financieras[[#Totals],[Valor (USD)]]</f>
        <v>0.13293712855802314</v>
      </c>
      <c r="C13">
        <f t="shared" ref="C13:C18" si="0">B13*M3</f>
        <v>1.5952455426962778E-2</v>
      </c>
    </row>
    <row r="14" spans="1:23" x14ac:dyDescent="0.2">
      <c r="B14">
        <f>J4/inversiones_financieras[[#Totals],[Valor (USD)]]</f>
        <v>0.10165780419142946</v>
      </c>
      <c r="C14">
        <f t="shared" si="0"/>
        <v>1.6265248670628715E-2</v>
      </c>
    </row>
    <row r="15" spans="1:23" x14ac:dyDescent="0.2">
      <c r="B15">
        <f>J5/inversiones_financieras[[#Totals],[Valor (USD)]]</f>
        <v>0.29558961526431027</v>
      </c>
      <c r="C15">
        <f t="shared" si="0"/>
        <v>1.182358461057241E-2</v>
      </c>
    </row>
    <row r="16" spans="1:23" x14ac:dyDescent="0.2">
      <c r="B16">
        <f>J6/inversiones_financieras[[#Totals],[Valor (USD)]]</f>
        <v>7.8823897403816082E-2</v>
      </c>
      <c r="C16">
        <f t="shared" si="0"/>
        <v>7.8823897403816068E-3</v>
      </c>
    </row>
    <row r="17" spans="2:29" x14ac:dyDescent="0.2">
      <c r="B17">
        <f>J7/inversiones_financieras[[#Totals],[Valor (USD)]]</f>
        <v>5.9430716296527991E-2</v>
      </c>
      <c r="C17">
        <f t="shared" si="0"/>
        <v>4.1601501407569595E-3</v>
      </c>
      <c r="Q17" s="18"/>
      <c r="R17" s="18"/>
      <c r="S17" s="18"/>
      <c r="T17" s="18"/>
      <c r="U17" s="18"/>
    </row>
    <row r="18" spans="2:29" x14ac:dyDescent="0.2">
      <c r="B18">
        <f>J8/inversiones_financieras[[#Totals],[Valor (USD)]]</f>
        <v>0.14388489208633093</v>
      </c>
      <c r="C18">
        <f t="shared" si="0"/>
        <v>1.4388489208633094E-2</v>
      </c>
      <c r="R18" s="42"/>
      <c r="S18" s="42"/>
      <c r="T18" s="42"/>
      <c r="U18" s="42"/>
    </row>
    <row r="19" spans="2:29" x14ac:dyDescent="0.2">
      <c r="C19">
        <f>SUM(C12:C18)*100</f>
        <v>8.7363152955896162</v>
      </c>
      <c r="R19" s="42"/>
      <c r="S19" s="42"/>
      <c r="T19" s="42"/>
      <c r="U19" s="42"/>
      <c r="Z19" s="18"/>
      <c r="AA19" s="18"/>
      <c r="AB19" s="18"/>
      <c r="AC19" s="18"/>
    </row>
    <row r="20" spans="2:29" x14ac:dyDescent="0.2">
      <c r="R20" s="42"/>
      <c r="S20" s="42"/>
      <c r="T20" s="42"/>
      <c r="U20" s="42"/>
    </row>
    <row r="21" spans="2:29" x14ac:dyDescent="0.2">
      <c r="R21" s="42"/>
      <c r="S21" s="42"/>
      <c r="T21" s="42"/>
      <c r="U21" s="42"/>
    </row>
    <row r="22" spans="2:29" x14ac:dyDescent="0.2">
      <c r="R22" s="42"/>
      <c r="S22" s="42"/>
      <c r="T22" s="42"/>
      <c r="U22" s="42"/>
    </row>
    <row r="23" spans="2:29" x14ac:dyDescent="0.2">
      <c r="R23" s="42"/>
      <c r="S23" s="42"/>
      <c r="T23" s="42"/>
      <c r="U23" s="42"/>
    </row>
    <row r="24" spans="2:29" x14ac:dyDescent="0.2">
      <c r="H24" s="18"/>
      <c r="I24" s="18"/>
      <c r="R24" s="42"/>
      <c r="S24" s="42"/>
      <c r="T24" s="42"/>
      <c r="U24" s="42"/>
    </row>
  </sheetData>
  <phoneticPr fontId="11" type="noConversion"/>
  <pageMargins left="0.75" right="0.75" top="1" bottom="1" header="0.5" footer="0.5"/>
  <legacy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"/>
  <sheetViews>
    <sheetView tabSelected="1" zoomScale="141" workbookViewId="0">
      <selection activeCell="A4" sqref="A4"/>
    </sheetView>
  </sheetViews>
  <sheetFormatPr baseColWidth="10" defaultColWidth="8.83203125" defaultRowHeight="15" x14ac:dyDescent="0.2"/>
  <cols>
    <col min="1" max="5" width="24.1640625" customWidth="1"/>
    <col min="7" max="7" width="12" bestFit="1" customWidth="1"/>
    <col min="9" max="9" width="30" customWidth="1"/>
    <col min="10" max="10" width="28.6640625" customWidth="1"/>
    <col min="11" max="11" width="20.6640625" bestFit="1" customWidth="1"/>
    <col min="12" max="12" width="15.33203125" bestFit="1" customWidth="1"/>
  </cols>
  <sheetData>
    <row r="1" spans="1:7" x14ac:dyDescent="0.2">
      <c r="A1" s="5" t="s">
        <v>10</v>
      </c>
      <c r="B1" s="5" t="s">
        <v>17</v>
      </c>
      <c r="C1" s="5" t="s">
        <v>165</v>
      </c>
      <c r="D1" s="53" t="s">
        <v>307</v>
      </c>
      <c r="E1" s="5" t="s">
        <v>18</v>
      </c>
      <c r="F1" s="5" t="s">
        <v>310</v>
      </c>
    </row>
    <row r="2" spans="1:7" x14ac:dyDescent="0.2">
      <c r="A2" t="s">
        <v>259</v>
      </c>
      <c r="B2" t="s">
        <v>23</v>
      </c>
      <c r="C2" t="s">
        <v>260</v>
      </c>
      <c r="D2" s="26">
        <v>85000000</v>
      </c>
      <c r="E2" t="s">
        <v>261</v>
      </c>
      <c r="F2" s="6" t="s">
        <v>302</v>
      </c>
      <c r="G2" s="35"/>
    </row>
    <row r="3" spans="1:7" x14ac:dyDescent="0.2">
      <c r="A3" t="s">
        <v>262</v>
      </c>
      <c r="B3" s="6" t="s">
        <v>23</v>
      </c>
      <c r="C3" s="6" t="s">
        <v>161</v>
      </c>
      <c r="D3" s="52">
        <v>3200000</v>
      </c>
      <c r="E3" t="s">
        <v>261</v>
      </c>
      <c r="F3" s="6" t="s">
        <v>302</v>
      </c>
    </row>
    <row r="4" spans="1:7" x14ac:dyDescent="0.2">
      <c r="A4" s="6"/>
      <c r="B4" s="6" t="s">
        <v>23</v>
      </c>
      <c r="C4" s="6" t="s">
        <v>162</v>
      </c>
      <c r="D4" s="52">
        <v>2000000</v>
      </c>
      <c r="E4" t="s">
        <v>261</v>
      </c>
      <c r="F4" s="6" t="s">
        <v>302</v>
      </c>
    </row>
    <row r="5" spans="1:7" x14ac:dyDescent="0.2">
      <c r="A5" t="s">
        <v>265</v>
      </c>
      <c r="B5" t="s">
        <v>23</v>
      </c>
      <c r="C5" t="s">
        <v>295</v>
      </c>
      <c r="D5" s="26">
        <v>45000000</v>
      </c>
      <c r="E5" t="s">
        <v>261</v>
      </c>
      <c r="F5" s="6" t="s">
        <v>302</v>
      </c>
    </row>
    <row r="6" spans="1:7" x14ac:dyDescent="0.2">
      <c r="A6" t="s">
        <v>266</v>
      </c>
      <c r="B6" t="s">
        <v>19</v>
      </c>
      <c r="C6" t="s">
        <v>263</v>
      </c>
      <c r="D6" s="26">
        <v>8000000</v>
      </c>
      <c r="E6" t="s">
        <v>264</v>
      </c>
      <c r="F6" s="6" t="s">
        <v>302</v>
      </c>
    </row>
    <row r="7" spans="1:7" x14ac:dyDescent="0.2">
      <c r="A7" t="s">
        <v>268</v>
      </c>
      <c r="B7" t="s">
        <v>19</v>
      </c>
      <c r="C7" t="s">
        <v>65</v>
      </c>
      <c r="D7" s="26">
        <v>12000000</v>
      </c>
      <c r="E7" t="s">
        <v>264</v>
      </c>
      <c r="F7" s="6" t="s">
        <v>302</v>
      </c>
    </row>
    <row r="8" spans="1:7" x14ac:dyDescent="0.2">
      <c r="A8" t="s">
        <v>270</v>
      </c>
      <c r="B8" t="s">
        <v>19</v>
      </c>
      <c r="C8" t="s">
        <v>267</v>
      </c>
      <c r="D8" s="26">
        <v>6000000</v>
      </c>
      <c r="E8" t="s">
        <v>264</v>
      </c>
      <c r="F8" s="6" t="s">
        <v>302</v>
      </c>
    </row>
    <row r="9" spans="1:7" x14ac:dyDescent="0.2">
      <c r="A9" t="s">
        <v>272</v>
      </c>
      <c r="B9" t="s">
        <v>19</v>
      </c>
      <c r="C9" t="s">
        <v>269</v>
      </c>
      <c r="D9" s="26">
        <v>5000000</v>
      </c>
      <c r="E9" t="s">
        <v>264</v>
      </c>
      <c r="F9" s="6" t="s">
        <v>302</v>
      </c>
    </row>
    <row r="10" spans="1:7" x14ac:dyDescent="0.2">
      <c r="A10" t="s">
        <v>313</v>
      </c>
      <c r="B10" t="s">
        <v>19</v>
      </c>
      <c r="C10" t="s">
        <v>271</v>
      </c>
      <c r="D10" s="26">
        <v>4000000</v>
      </c>
      <c r="E10" t="s">
        <v>264</v>
      </c>
      <c r="F10" s="6" t="s">
        <v>302</v>
      </c>
    </row>
    <row r="11" spans="1:7" x14ac:dyDescent="0.2">
      <c r="A11" t="s">
        <v>314</v>
      </c>
      <c r="B11" t="s">
        <v>19</v>
      </c>
      <c r="C11" t="s">
        <v>57</v>
      </c>
      <c r="D11" s="26">
        <v>1100000</v>
      </c>
      <c r="E11" t="s">
        <v>264</v>
      </c>
      <c r="F11" s="6" t="s">
        <v>302</v>
      </c>
    </row>
    <row r="12" spans="1:7" x14ac:dyDescent="0.2">
      <c r="A12" t="s">
        <v>315</v>
      </c>
      <c r="B12" t="s">
        <v>21</v>
      </c>
      <c r="C12" t="s">
        <v>273</v>
      </c>
      <c r="D12" s="26">
        <v>4500000</v>
      </c>
      <c r="E12" t="s">
        <v>264</v>
      </c>
      <c r="F12" s="6" t="s">
        <v>302</v>
      </c>
    </row>
    <row r="13" spans="1:7" x14ac:dyDescent="0.2">
      <c r="A13" t="s">
        <v>316</v>
      </c>
      <c r="B13" t="s">
        <v>21</v>
      </c>
      <c r="C13" t="s">
        <v>274</v>
      </c>
      <c r="D13" s="26">
        <v>2000000</v>
      </c>
      <c r="E13" t="s">
        <v>264</v>
      </c>
      <c r="F13" s="6" t="s">
        <v>302</v>
      </c>
    </row>
    <row r="14" spans="1:7" x14ac:dyDescent="0.2">
      <c r="A14" t="s">
        <v>317</v>
      </c>
      <c r="B14" t="s">
        <v>21</v>
      </c>
      <c r="C14" t="s">
        <v>275</v>
      </c>
      <c r="D14" s="26">
        <v>1500000</v>
      </c>
      <c r="E14" t="s">
        <v>264</v>
      </c>
      <c r="F14" s="6" t="s">
        <v>302</v>
      </c>
    </row>
    <row r="15" spans="1:7" x14ac:dyDescent="0.2">
      <c r="A15" t="s">
        <v>318</v>
      </c>
      <c r="B15" t="s">
        <v>21</v>
      </c>
      <c r="C15" t="s">
        <v>64</v>
      </c>
      <c r="D15" s="26">
        <v>1500000</v>
      </c>
      <c r="E15" t="s">
        <v>264</v>
      </c>
      <c r="F15" s="6" t="s">
        <v>302</v>
      </c>
    </row>
    <row r="16" spans="1:7" x14ac:dyDescent="0.2">
      <c r="A16" t="s">
        <v>319</v>
      </c>
      <c r="B16" t="s">
        <v>276</v>
      </c>
      <c r="C16" t="s">
        <v>277</v>
      </c>
      <c r="D16" s="26">
        <v>8000000</v>
      </c>
      <c r="E16" t="s">
        <v>264</v>
      </c>
      <c r="F16" s="6" t="s">
        <v>302</v>
      </c>
    </row>
    <row r="17" spans="1:6" x14ac:dyDescent="0.2">
      <c r="A17" t="s">
        <v>320</v>
      </c>
      <c r="B17" t="s">
        <v>276</v>
      </c>
      <c r="C17" t="s">
        <v>278</v>
      </c>
      <c r="D17" s="26">
        <v>4000000</v>
      </c>
      <c r="E17" t="s">
        <v>264</v>
      </c>
      <c r="F17" s="6" t="s">
        <v>302</v>
      </c>
    </row>
    <row r="18" spans="1:6" x14ac:dyDescent="0.2">
      <c r="A18" t="s">
        <v>321</v>
      </c>
      <c r="B18" t="s">
        <v>276</v>
      </c>
      <c r="C18" t="s">
        <v>279</v>
      </c>
      <c r="D18" s="26">
        <v>3000000</v>
      </c>
      <c r="E18" t="s">
        <v>264</v>
      </c>
      <c r="F18" s="6" t="s">
        <v>302</v>
      </c>
    </row>
    <row r="19" spans="1:6" x14ac:dyDescent="0.2">
      <c r="A19" t="s">
        <v>322</v>
      </c>
      <c r="B19" t="s">
        <v>276</v>
      </c>
      <c r="C19" t="s">
        <v>280</v>
      </c>
      <c r="D19" s="26">
        <v>3000000</v>
      </c>
      <c r="E19" t="s">
        <v>264</v>
      </c>
      <c r="F19" s="6" t="s">
        <v>302</v>
      </c>
    </row>
    <row r="20" spans="1:6" x14ac:dyDescent="0.2">
      <c r="A20" t="s">
        <v>323</v>
      </c>
      <c r="B20" t="s">
        <v>276</v>
      </c>
      <c r="C20" t="s">
        <v>281</v>
      </c>
      <c r="D20" s="26">
        <v>5000000</v>
      </c>
      <c r="E20" t="s">
        <v>264</v>
      </c>
      <c r="F20" s="6" t="s">
        <v>302</v>
      </c>
    </row>
    <row r="21" spans="1:6" x14ac:dyDescent="0.2">
      <c r="A21" t="s">
        <v>324</v>
      </c>
      <c r="B21" t="s">
        <v>276</v>
      </c>
      <c r="C21" t="s">
        <v>282</v>
      </c>
      <c r="D21" s="26">
        <v>3000000</v>
      </c>
      <c r="E21" t="s">
        <v>264</v>
      </c>
      <c r="F21" s="6" t="s">
        <v>302</v>
      </c>
    </row>
    <row r="22" spans="1:6" x14ac:dyDescent="0.2">
      <c r="A22" t="s">
        <v>325</v>
      </c>
      <c r="B22" t="s">
        <v>276</v>
      </c>
      <c r="C22" t="s">
        <v>283</v>
      </c>
      <c r="D22" s="26">
        <v>3000000</v>
      </c>
      <c r="E22" t="s">
        <v>264</v>
      </c>
      <c r="F22" s="6" t="s">
        <v>302</v>
      </c>
    </row>
    <row r="23" spans="1:6" x14ac:dyDescent="0.2">
      <c r="A23" t="s">
        <v>326</v>
      </c>
      <c r="B23" t="s">
        <v>276</v>
      </c>
      <c r="C23" t="s">
        <v>284</v>
      </c>
      <c r="D23" s="26">
        <v>2000000</v>
      </c>
      <c r="E23" t="s">
        <v>264</v>
      </c>
      <c r="F23" s="6" t="s">
        <v>302</v>
      </c>
    </row>
    <row r="24" spans="1:6" x14ac:dyDescent="0.2">
      <c r="A24" t="s">
        <v>327</v>
      </c>
      <c r="B24" t="s">
        <v>276</v>
      </c>
      <c r="C24" t="s">
        <v>90</v>
      </c>
      <c r="D24" s="26">
        <v>2000000</v>
      </c>
      <c r="E24" t="s">
        <v>264</v>
      </c>
      <c r="F24" s="6" t="s">
        <v>302</v>
      </c>
    </row>
    <row r="25" spans="1:6" x14ac:dyDescent="0.2">
      <c r="A25" t="s">
        <v>328</v>
      </c>
      <c r="B25" t="s">
        <v>276</v>
      </c>
      <c r="C25" t="s">
        <v>285</v>
      </c>
      <c r="D25" s="26">
        <v>1000000</v>
      </c>
      <c r="E25" t="s">
        <v>264</v>
      </c>
      <c r="F25" s="6" t="s">
        <v>302</v>
      </c>
    </row>
    <row r="26" spans="1:6" x14ac:dyDescent="0.2">
      <c r="A26" t="s">
        <v>329</v>
      </c>
      <c r="B26" t="s">
        <v>286</v>
      </c>
      <c r="C26" t="s">
        <v>287</v>
      </c>
      <c r="D26" s="26">
        <v>15000000</v>
      </c>
      <c r="E26" t="s">
        <v>264</v>
      </c>
      <c r="F26" s="6" t="s">
        <v>302</v>
      </c>
    </row>
    <row r="27" spans="1:6" x14ac:dyDescent="0.2">
      <c r="A27" t="s">
        <v>330</v>
      </c>
      <c r="B27" t="s">
        <v>286</v>
      </c>
      <c r="C27" t="s">
        <v>288</v>
      </c>
      <c r="D27" s="26">
        <v>25000000</v>
      </c>
      <c r="E27" t="s">
        <v>264</v>
      </c>
      <c r="F27" s="6" t="s">
        <v>302</v>
      </c>
    </row>
    <row r="28" spans="1:6" x14ac:dyDescent="0.2">
      <c r="A28" t="s">
        <v>331</v>
      </c>
      <c r="B28" t="s">
        <v>12</v>
      </c>
      <c r="C28" t="s">
        <v>289</v>
      </c>
      <c r="D28" s="26">
        <v>4000000</v>
      </c>
      <c r="E28" t="s">
        <v>264</v>
      </c>
      <c r="F28" s="6" t="s">
        <v>302</v>
      </c>
    </row>
    <row r="29" spans="1:6" x14ac:dyDescent="0.2">
      <c r="A29" t="s">
        <v>332</v>
      </c>
      <c r="B29" t="s">
        <v>12</v>
      </c>
      <c r="C29" t="s">
        <v>290</v>
      </c>
      <c r="D29" s="26">
        <v>2000000</v>
      </c>
      <c r="E29" t="s">
        <v>264</v>
      </c>
      <c r="F29" s="6" t="s">
        <v>302</v>
      </c>
    </row>
    <row r="30" spans="1:6" x14ac:dyDescent="0.2">
      <c r="A30" t="s">
        <v>333</v>
      </c>
      <c r="B30" t="s">
        <v>12</v>
      </c>
      <c r="C30" t="s">
        <v>291</v>
      </c>
      <c r="D30" s="26">
        <v>1000000</v>
      </c>
      <c r="E30" t="s">
        <v>264</v>
      </c>
      <c r="F30" s="6" t="s">
        <v>302</v>
      </c>
    </row>
    <row r="31" spans="1:6" x14ac:dyDescent="0.2">
      <c r="A31" t="s">
        <v>334</v>
      </c>
      <c r="B31" s="6" t="s">
        <v>19</v>
      </c>
      <c r="C31" s="6" t="s">
        <v>52</v>
      </c>
      <c r="D31" s="52">
        <v>400000</v>
      </c>
      <c r="E31" t="s">
        <v>264</v>
      </c>
      <c r="F31" s="6" t="s">
        <v>302</v>
      </c>
    </row>
    <row r="32" spans="1:6" x14ac:dyDescent="0.2">
      <c r="A32" s="6"/>
      <c r="B32" s="6"/>
      <c r="C32" s="6"/>
      <c r="D32" s="6"/>
      <c r="E32" s="6"/>
      <c r="F32" s="6"/>
    </row>
  </sheetData>
  <phoneticPr fontId="11" type="noConversion"/>
  <dataValidations count="2">
    <dataValidation type="list" allowBlank="1" showInputMessage="1" showErrorMessage="1" sqref="C1:C31" xr:uid="{6CACF9BB-10F7-2246-9D2C-125EF5553F3C}">
      <formula1>Subcategoria</formula1>
    </dataValidation>
    <dataValidation type="list" allowBlank="1" showInputMessage="1" showErrorMessage="1" sqref="B1:B31" xr:uid="{B2544649-A33A-1D48-95FF-B81BA68F6868}">
      <formula1>Categoria</formula1>
    </dataValidation>
  </dataValidations>
  <pageMargins left="0.75" right="0.75" top="1" bottom="1" header="0.5" footer="0.5"/>
  <pageSetup paperSize="9" orientation="portrait" horizontalDpi="0" verticalDpi="0"/>
  <ignoredErrors>
    <ignoredError sqref="C25:C30 C6 C8:C10 C12:C14 C16:C23" listDataValidation="1"/>
  </ignoredErrors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15230-F9E5-B941-9B1E-30F5BCF3A260}">
  <dimension ref="A1:C123"/>
  <sheetViews>
    <sheetView zoomScale="150" workbookViewId="0">
      <selection activeCell="B43" sqref="B43"/>
    </sheetView>
  </sheetViews>
  <sheetFormatPr baseColWidth="10" defaultColWidth="10.83203125" defaultRowHeight="15" x14ac:dyDescent="0.2"/>
  <cols>
    <col min="1" max="2" width="40.1640625" customWidth="1"/>
    <col min="3" max="3" width="44.5" customWidth="1"/>
  </cols>
  <sheetData>
    <row r="1" spans="1:3" x14ac:dyDescent="0.2">
      <c r="A1" t="s">
        <v>45</v>
      </c>
      <c r="B1" t="s">
        <v>46</v>
      </c>
      <c r="C1" t="s">
        <v>170</v>
      </c>
    </row>
    <row r="2" spans="1:3" x14ac:dyDescent="0.2">
      <c r="A2" t="s">
        <v>19</v>
      </c>
      <c r="B2" t="s">
        <v>47</v>
      </c>
      <c r="C2" t="s">
        <v>171</v>
      </c>
    </row>
    <row r="3" spans="1:3" x14ac:dyDescent="0.2">
      <c r="A3" t="s">
        <v>21</v>
      </c>
      <c r="B3" t="s">
        <v>48</v>
      </c>
      <c r="C3" t="s">
        <v>172</v>
      </c>
    </row>
    <row r="4" spans="1:3" x14ac:dyDescent="0.2">
      <c r="A4" t="s">
        <v>276</v>
      </c>
      <c r="B4" t="s">
        <v>49</v>
      </c>
      <c r="C4" t="s">
        <v>173</v>
      </c>
    </row>
    <row r="5" spans="1:3" x14ac:dyDescent="0.2">
      <c r="A5" t="s">
        <v>23</v>
      </c>
      <c r="B5" t="s">
        <v>50</v>
      </c>
      <c r="C5" t="s">
        <v>174</v>
      </c>
    </row>
    <row r="6" spans="1:3" x14ac:dyDescent="0.2">
      <c r="A6" t="s">
        <v>12</v>
      </c>
      <c r="B6" t="s">
        <v>51</v>
      </c>
      <c r="C6" t="s">
        <v>175</v>
      </c>
    </row>
    <row r="7" spans="1:3" x14ac:dyDescent="0.2">
      <c r="A7" t="s">
        <v>312</v>
      </c>
      <c r="B7" t="s">
        <v>52</v>
      </c>
      <c r="C7" t="s">
        <v>176</v>
      </c>
    </row>
    <row r="8" spans="1:3" x14ac:dyDescent="0.2">
      <c r="B8" t="s">
        <v>53</v>
      </c>
      <c r="C8" t="s">
        <v>177</v>
      </c>
    </row>
    <row r="9" spans="1:3" x14ac:dyDescent="0.2">
      <c r="B9" t="s">
        <v>20</v>
      </c>
      <c r="C9" t="s">
        <v>178</v>
      </c>
    </row>
    <row r="10" spans="1:3" x14ac:dyDescent="0.2">
      <c r="B10" t="s">
        <v>54</v>
      </c>
      <c r="C10" t="s">
        <v>179</v>
      </c>
    </row>
    <row r="11" spans="1:3" x14ac:dyDescent="0.2">
      <c r="B11" t="s">
        <v>55</v>
      </c>
      <c r="C11" t="s">
        <v>180</v>
      </c>
    </row>
    <row r="12" spans="1:3" x14ac:dyDescent="0.2">
      <c r="B12" t="s">
        <v>56</v>
      </c>
      <c r="C12" t="s">
        <v>181</v>
      </c>
    </row>
    <row r="13" spans="1:3" x14ac:dyDescent="0.2">
      <c r="B13" t="s">
        <v>57</v>
      </c>
      <c r="C13" t="s">
        <v>182</v>
      </c>
    </row>
    <row r="14" spans="1:3" x14ac:dyDescent="0.2">
      <c r="B14" t="s">
        <v>58</v>
      </c>
      <c r="C14" t="s">
        <v>183</v>
      </c>
    </row>
    <row r="15" spans="1:3" x14ac:dyDescent="0.2">
      <c r="B15" t="s">
        <v>59</v>
      </c>
      <c r="C15" t="s">
        <v>184</v>
      </c>
    </row>
    <row r="16" spans="1:3" x14ac:dyDescent="0.2">
      <c r="B16" t="s">
        <v>60</v>
      </c>
      <c r="C16" t="s">
        <v>185</v>
      </c>
    </row>
    <row r="17" spans="2:3" x14ac:dyDescent="0.2">
      <c r="B17" t="s">
        <v>61</v>
      </c>
      <c r="C17" t="s">
        <v>186</v>
      </c>
    </row>
    <row r="18" spans="2:3" x14ac:dyDescent="0.2">
      <c r="B18" t="s">
        <v>62</v>
      </c>
      <c r="C18" t="s">
        <v>187</v>
      </c>
    </row>
    <row r="19" spans="2:3" x14ac:dyDescent="0.2">
      <c r="B19" t="s">
        <v>63</v>
      </c>
      <c r="C19" t="s">
        <v>188</v>
      </c>
    </row>
    <row r="20" spans="2:3" x14ac:dyDescent="0.2">
      <c r="B20" t="s">
        <v>64</v>
      </c>
      <c r="C20" t="s">
        <v>189</v>
      </c>
    </row>
    <row r="21" spans="2:3" x14ac:dyDescent="0.2">
      <c r="B21" t="s">
        <v>65</v>
      </c>
      <c r="C21" t="s">
        <v>190</v>
      </c>
    </row>
    <row r="22" spans="2:3" x14ac:dyDescent="0.2">
      <c r="B22" t="s">
        <v>66</v>
      </c>
    </row>
    <row r="23" spans="2:3" x14ac:dyDescent="0.2">
      <c r="B23" t="s">
        <v>67</v>
      </c>
    </row>
    <row r="24" spans="2:3" x14ac:dyDescent="0.2">
      <c r="B24" t="s">
        <v>68</v>
      </c>
    </row>
    <row r="25" spans="2:3" x14ac:dyDescent="0.2">
      <c r="B25" t="s">
        <v>69</v>
      </c>
    </row>
    <row r="26" spans="2:3" x14ac:dyDescent="0.2">
      <c r="B26" t="s">
        <v>70</v>
      </c>
    </row>
    <row r="27" spans="2:3" x14ac:dyDescent="0.2">
      <c r="B27" t="s">
        <v>71</v>
      </c>
    </row>
    <row r="28" spans="2:3" x14ac:dyDescent="0.2">
      <c r="B28" t="s">
        <v>72</v>
      </c>
    </row>
    <row r="29" spans="2:3" x14ac:dyDescent="0.2">
      <c r="B29" t="s">
        <v>73</v>
      </c>
    </row>
    <row r="30" spans="2:3" x14ac:dyDescent="0.2">
      <c r="B30" t="s">
        <v>74</v>
      </c>
    </row>
    <row r="31" spans="2:3" x14ac:dyDescent="0.2">
      <c r="B31" t="s">
        <v>75</v>
      </c>
    </row>
    <row r="32" spans="2:3" x14ac:dyDescent="0.2">
      <c r="B32" t="s">
        <v>76</v>
      </c>
    </row>
    <row r="33" spans="2:2" x14ac:dyDescent="0.2">
      <c r="B33" t="s">
        <v>77</v>
      </c>
    </row>
    <row r="34" spans="2:2" x14ac:dyDescent="0.2">
      <c r="B34" t="s">
        <v>78</v>
      </c>
    </row>
    <row r="35" spans="2:2" x14ac:dyDescent="0.2">
      <c r="B35" t="s">
        <v>79</v>
      </c>
    </row>
    <row r="36" spans="2:2" x14ac:dyDescent="0.2">
      <c r="B36" t="s">
        <v>80</v>
      </c>
    </row>
    <row r="37" spans="2:2" x14ac:dyDescent="0.2">
      <c r="B37" t="s">
        <v>81</v>
      </c>
    </row>
    <row r="38" spans="2:2" x14ac:dyDescent="0.2">
      <c r="B38" t="s">
        <v>82</v>
      </c>
    </row>
    <row r="39" spans="2:2" x14ac:dyDescent="0.2">
      <c r="B39" t="s">
        <v>83</v>
      </c>
    </row>
    <row r="40" spans="2:2" x14ac:dyDescent="0.2">
      <c r="B40" t="s">
        <v>84</v>
      </c>
    </row>
    <row r="41" spans="2:2" x14ac:dyDescent="0.2">
      <c r="B41" t="s">
        <v>85</v>
      </c>
    </row>
    <row r="42" spans="2:2" x14ac:dyDescent="0.2">
      <c r="B42" t="s">
        <v>86</v>
      </c>
    </row>
    <row r="43" spans="2:2" x14ac:dyDescent="0.2">
      <c r="B43" t="s">
        <v>87</v>
      </c>
    </row>
    <row r="44" spans="2:2" x14ac:dyDescent="0.2">
      <c r="B44" t="s">
        <v>88</v>
      </c>
    </row>
    <row r="45" spans="2:2" x14ac:dyDescent="0.2">
      <c r="B45" t="s">
        <v>89</v>
      </c>
    </row>
    <row r="46" spans="2:2" x14ac:dyDescent="0.2">
      <c r="B46" t="s">
        <v>90</v>
      </c>
    </row>
    <row r="47" spans="2:2" x14ac:dyDescent="0.2">
      <c r="B47" t="s">
        <v>91</v>
      </c>
    </row>
    <row r="48" spans="2:2" x14ac:dyDescent="0.2">
      <c r="B48" t="s">
        <v>92</v>
      </c>
    </row>
    <row r="49" spans="2:2" x14ac:dyDescent="0.2">
      <c r="B49" t="s">
        <v>93</v>
      </c>
    </row>
    <row r="50" spans="2:2" x14ac:dyDescent="0.2">
      <c r="B50" t="s">
        <v>94</v>
      </c>
    </row>
    <row r="51" spans="2:2" x14ac:dyDescent="0.2">
      <c r="B51" t="s">
        <v>95</v>
      </c>
    </row>
    <row r="52" spans="2:2" x14ac:dyDescent="0.2">
      <c r="B52" t="s">
        <v>96</v>
      </c>
    </row>
    <row r="53" spans="2:2" x14ac:dyDescent="0.2">
      <c r="B53" t="s">
        <v>97</v>
      </c>
    </row>
    <row r="54" spans="2:2" x14ac:dyDescent="0.2">
      <c r="B54" t="s">
        <v>98</v>
      </c>
    </row>
    <row r="55" spans="2:2" x14ac:dyDescent="0.2">
      <c r="B55" t="s">
        <v>99</v>
      </c>
    </row>
    <row r="56" spans="2:2" x14ac:dyDescent="0.2">
      <c r="B56" t="s">
        <v>100</v>
      </c>
    </row>
    <row r="57" spans="2:2" x14ac:dyDescent="0.2">
      <c r="B57" t="s">
        <v>101</v>
      </c>
    </row>
    <row r="58" spans="2:2" x14ac:dyDescent="0.2">
      <c r="B58" t="s">
        <v>102</v>
      </c>
    </row>
    <row r="59" spans="2:2" x14ac:dyDescent="0.2">
      <c r="B59" t="s">
        <v>103</v>
      </c>
    </row>
    <row r="60" spans="2:2" x14ac:dyDescent="0.2">
      <c r="B60" t="s">
        <v>104</v>
      </c>
    </row>
    <row r="61" spans="2:2" x14ac:dyDescent="0.2">
      <c r="B61" t="s">
        <v>105</v>
      </c>
    </row>
    <row r="62" spans="2:2" x14ac:dyDescent="0.2">
      <c r="B62" t="s">
        <v>106</v>
      </c>
    </row>
    <row r="63" spans="2:2" x14ac:dyDescent="0.2">
      <c r="B63" t="s">
        <v>107</v>
      </c>
    </row>
    <row r="64" spans="2:2" x14ac:dyDescent="0.2">
      <c r="B64" t="s">
        <v>108</v>
      </c>
    </row>
    <row r="65" spans="2:2" x14ac:dyDescent="0.2">
      <c r="B65" t="s">
        <v>109</v>
      </c>
    </row>
    <row r="66" spans="2:2" x14ac:dyDescent="0.2">
      <c r="B66" t="s">
        <v>22</v>
      </c>
    </row>
    <row r="67" spans="2:2" x14ac:dyDescent="0.2">
      <c r="B67" t="s">
        <v>110</v>
      </c>
    </row>
    <row r="68" spans="2:2" x14ac:dyDescent="0.2">
      <c r="B68" t="s">
        <v>111</v>
      </c>
    </row>
    <row r="69" spans="2:2" x14ac:dyDescent="0.2">
      <c r="B69" t="s">
        <v>112</v>
      </c>
    </row>
    <row r="70" spans="2:2" x14ac:dyDescent="0.2">
      <c r="B70" t="s">
        <v>113</v>
      </c>
    </row>
    <row r="71" spans="2:2" x14ac:dyDescent="0.2">
      <c r="B71" t="s">
        <v>114</v>
      </c>
    </row>
    <row r="72" spans="2:2" x14ac:dyDescent="0.2">
      <c r="B72" t="s">
        <v>115</v>
      </c>
    </row>
    <row r="73" spans="2:2" x14ac:dyDescent="0.2">
      <c r="B73" t="s">
        <v>116</v>
      </c>
    </row>
    <row r="74" spans="2:2" x14ac:dyDescent="0.2">
      <c r="B74" t="s">
        <v>117</v>
      </c>
    </row>
    <row r="75" spans="2:2" x14ac:dyDescent="0.2">
      <c r="B75" t="s">
        <v>118</v>
      </c>
    </row>
    <row r="76" spans="2:2" x14ac:dyDescent="0.2">
      <c r="B76" t="s">
        <v>119</v>
      </c>
    </row>
    <row r="77" spans="2:2" x14ac:dyDescent="0.2">
      <c r="B77" t="s">
        <v>120</v>
      </c>
    </row>
    <row r="78" spans="2:2" x14ac:dyDescent="0.2">
      <c r="B78" t="s">
        <v>121</v>
      </c>
    </row>
    <row r="79" spans="2:2" x14ac:dyDescent="0.2">
      <c r="B79" t="s">
        <v>122</v>
      </c>
    </row>
    <row r="80" spans="2:2" x14ac:dyDescent="0.2">
      <c r="B80" t="s">
        <v>123</v>
      </c>
    </row>
    <row r="81" spans="2:2" x14ac:dyDescent="0.2">
      <c r="B81" t="s">
        <v>124</v>
      </c>
    </row>
    <row r="82" spans="2:2" x14ac:dyDescent="0.2">
      <c r="B82" t="s">
        <v>125</v>
      </c>
    </row>
    <row r="83" spans="2:2" x14ac:dyDescent="0.2">
      <c r="B83" t="s">
        <v>126</v>
      </c>
    </row>
    <row r="84" spans="2:2" x14ac:dyDescent="0.2">
      <c r="B84" t="s">
        <v>127</v>
      </c>
    </row>
    <row r="85" spans="2:2" x14ac:dyDescent="0.2">
      <c r="B85" t="s">
        <v>128</v>
      </c>
    </row>
    <row r="86" spans="2:2" x14ac:dyDescent="0.2">
      <c r="B86" t="s">
        <v>260</v>
      </c>
    </row>
    <row r="87" spans="2:2" x14ac:dyDescent="0.2">
      <c r="B87" t="s">
        <v>295</v>
      </c>
    </row>
    <row r="88" spans="2:2" x14ac:dyDescent="0.2">
      <c r="B88" t="s">
        <v>129</v>
      </c>
    </row>
    <row r="89" spans="2:2" x14ac:dyDescent="0.2">
      <c r="B89" t="s">
        <v>130</v>
      </c>
    </row>
    <row r="90" spans="2:2" x14ac:dyDescent="0.2">
      <c r="B90" t="s">
        <v>131</v>
      </c>
    </row>
    <row r="91" spans="2:2" x14ac:dyDescent="0.2">
      <c r="B91" t="s">
        <v>132</v>
      </c>
    </row>
    <row r="92" spans="2:2" x14ac:dyDescent="0.2">
      <c r="B92" t="s">
        <v>133</v>
      </c>
    </row>
    <row r="93" spans="2:2" x14ac:dyDescent="0.2">
      <c r="B93" t="s">
        <v>134</v>
      </c>
    </row>
    <row r="94" spans="2:2" x14ac:dyDescent="0.2">
      <c r="B94" t="s">
        <v>135</v>
      </c>
    </row>
    <row r="95" spans="2:2" x14ac:dyDescent="0.2">
      <c r="B95" t="s">
        <v>136</v>
      </c>
    </row>
    <row r="96" spans="2:2" x14ac:dyDescent="0.2">
      <c r="B96" t="s">
        <v>137</v>
      </c>
    </row>
    <row r="97" spans="2:2" x14ac:dyDescent="0.2">
      <c r="B97" t="s">
        <v>138</v>
      </c>
    </row>
    <row r="98" spans="2:2" x14ac:dyDescent="0.2">
      <c r="B98" t="s">
        <v>139</v>
      </c>
    </row>
    <row r="99" spans="2:2" x14ac:dyDescent="0.2">
      <c r="B99" t="s">
        <v>140</v>
      </c>
    </row>
    <row r="100" spans="2:2" x14ac:dyDescent="0.2">
      <c r="B100" t="s">
        <v>141</v>
      </c>
    </row>
    <row r="101" spans="2:2" x14ac:dyDescent="0.2">
      <c r="B101" t="s">
        <v>142</v>
      </c>
    </row>
    <row r="102" spans="2:2" x14ac:dyDescent="0.2">
      <c r="B102" t="s">
        <v>143</v>
      </c>
    </row>
    <row r="103" spans="2:2" x14ac:dyDescent="0.2">
      <c r="B103" t="s">
        <v>144</v>
      </c>
    </row>
    <row r="104" spans="2:2" x14ac:dyDescent="0.2">
      <c r="B104" t="s">
        <v>145</v>
      </c>
    </row>
    <row r="105" spans="2:2" x14ac:dyDescent="0.2">
      <c r="B105" t="s">
        <v>146</v>
      </c>
    </row>
    <row r="106" spans="2:2" x14ac:dyDescent="0.2">
      <c r="B106" t="s">
        <v>147</v>
      </c>
    </row>
    <row r="107" spans="2:2" x14ac:dyDescent="0.2">
      <c r="B107" t="s">
        <v>148</v>
      </c>
    </row>
    <row r="108" spans="2:2" x14ac:dyDescent="0.2">
      <c r="B108" t="s">
        <v>149</v>
      </c>
    </row>
    <row r="109" spans="2:2" x14ac:dyDescent="0.2">
      <c r="B109" t="s">
        <v>150</v>
      </c>
    </row>
    <row r="110" spans="2:2" x14ac:dyDescent="0.2">
      <c r="B110" t="s">
        <v>151</v>
      </c>
    </row>
    <row r="111" spans="2:2" x14ac:dyDescent="0.2">
      <c r="B111" t="s">
        <v>152</v>
      </c>
    </row>
    <row r="112" spans="2:2" x14ac:dyDescent="0.2">
      <c r="B112" t="s">
        <v>153</v>
      </c>
    </row>
    <row r="113" spans="2:2" x14ac:dyDescent="0.2">
      <c r="B113" t="s">
        <v>154</v>
      </c>
    </row>
    <row r="114" spans="2:2" x14ac:dyDescent="0.2">
      <c r="B114" t="s">
        <v>155</v>
      </c>
    </row>
    <row r="115" spans="2:2" x14ac:dyDescent="0.2">
      <c r="B115" t="s">
        <v>156</v>
      </c>
    </row>
    <row r="116" spans="2:2" x14ac:dyDescent="0.2">
      <c r="B116" t="s">
        <v>157</v>
      </c>
    </row>
    <row r="117" spans="2:2" x14ac:dyDescent="0.2">
      <c r="B117" t="s">
        <v>158</v>
      </c>
    </row>
    <row r="118" spans="2:2" x14ac:dyDescent="0.2">
      <c r="B118" t="s">
        <v>159</v>
      </c>
    </row>
    <row r="119" spans="2:2" x14ac:dyDescent="0.2">
      <c r="B119" t="s">
        <v>160</v>
      </c>
    </row>
    <row r="120" spans="2:2" x14ac:dyDescent="0.2">
      <c r="B120" t="s">
        <v>161</v>
      </c>
    </row>
    <row r="121" spans="2:2" x14ac:dyDescent="0.2">
      <c r="B121" t="s">
        <v>162</v>
      </c>
    </row>
    <row r="122" spans="2:2" x14ac:dyDescent="0.2">
      <c r="B122" t="s">
        <v>163</v>
      </c>
    </row>
    <row r="123" spans="2:2" x14ac:dyDescent="0.2">
      <c r="B123" t="s">
        <v>164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0"/>
  <sheetViews>
    <sheetView zoomScale="80" workbookViewId="0">
      <selection activeCell="A8" sqref="A8"/>
    </sheetView>
  </sheetViews>
  <sheetFormatPr baseColWidth="10" defaultColWidth="8.83203125" defaultRowHeight="15" x14ac:dyDescent="0.2"/>
  <cols>
    <col min="1" max="1" width="89.33203125" bestFit="1" customWidth="1"/>
    <col min="2" max="2" width="50" customWidth="1"/>
  </cols>
  <sheetData>
    <row r="1" spans="1:1" ht="21" x14ac:dyDescent="0.25">
      <c r="A1" s="1" t="s">
        <v>24</v>
      </c>
    </row>
    <row r="3" spans="1:1" ht="16" x14ac:dyDescent="0.2">
      <c r="A3" s="2" t="s">
        <v>25</v>
      </c>
    </row>
    <row r="4" spans="1:1" x14ac:dyDescent="0.2">
      <c r="A4" t="s">
        <v>26</v>
      </c>
    </row>
    <row r="5" spans="1:1" x14ac:dyDescent="0.2">
      <c r="A5" t="s">
        <v>27</v>
      </c>
    </row>
    <row r="6" spans="1:1" x14ac:dyDescent="0.2">
      <c r="A6" t="s">
        <v>28</v>
      </c>
    </row>
    <row r="7" spans="1:1" x14ac:dyDescent="0.2">
      <c r="A7" t="s">
        <v>29</v>
      </c>
    </row>
    <row r="8" spans="1:1" x14ac:dyDescent="0.2">
      <c r="A8" t="s">
        <v>30</v>
      </c>
    </row>
    <row r="10" spans="1:1" ht="16" x14ac:dyDescent="0.2">
      <c r="A10" s="2" t="s">
        <v>31</v>
      </c>
    </row>
    <row r="12" spans="1:1" x14ac:dyDescent="0.2">
      <c r="A12" s="3" t="s">
        <v>32</v>
      </c>
    </row>
    <row r="13" spans="1:1" x14ac:dyDescent="0.2">
      <c r="A13" t="s">
        <v>33</v>
      </c>
    </row>
    <row r="15" spans="1:1" x14ac:dyDescent="0.2">
      <c r="A15" s="3" t="s">
        <v>34</v>
      </c>
    </row>
    <row r="16" spans="1:1" x14ac:dyDescent="0.2">
      <c r="A16" t="s">
        <v>35</v>
      </c>
    </row>
    <row r="18" spans="1:1" x14ac:dyDescent="0.2">
      <c r="A18" s="3" t="s">
        <v>36</v>
      </c>
    </row>
    <row r="19" spans="1:1" x14ac:dyDescent="0.2">
      <c r="A19" t="s">
        <v>35</v>
      </c>
    </row>
    <row r="21" spans="1:1" x14ac:dyDescent="0.2">
      <c r="A21" s="3" t="s">
        <v>37</v>
      </c>
    </row>
    <row r="22" spans="1:1" x14ac:dyDescent="0.2">
      <c r="A22" t="s">
        <v>35</v>
      </c>
    </row>
    <row r="24" spans="1:1" x14ac:dyDescent="0.2">
      <c r="A24" s="3" t="s">
        <v>38</v>
      </c>
    </row>
    <row r="25" spans="1:1" x14ac:dyDescent="0.2">
      <c r="A25" t="s">
        <v>39</v>
      </c>
    </row>
    <row r="27" spans="1:1" ht="16" x14ac:dyDescent="0.2">
      <c r="A27" s="2" t="s">
        <v>40</v>
      </c>
    </row>
    <row r="28" spans="1:1" x14ac:dyDescent="0.2">
      <c r="A28" t="s">
        <v>41</v>
      </c>
    </row>
    <row r="29" spans="1:1" x14ac:dyDescent="0.2">
      <c r="A29" t="s">
        <v>42</v>
      </c>
    </row>
    <row r="30" spans="1:1" x14ac:dyDescent="0.2">
      <c r="A30" t="s">
        <v>43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610b0f8-40dd-414b-b384-f3b71d715818" xsi:nil="true"/>
    <lcf76f155ced4ddcb4097134ff3c332f xmlns="f610b0f8-40dd-414b-b384-f3b71d715818">
      <Terms xmlns="http://schemas.microsoft.com/office/infopath/2007/PartnerControls"/>
    </lcf76f155ced4ddcb4097134ff3c332f>
    <TaxCatchAll xmlns="66e8623f-a0b2-4e0d-9eab-9854f17839d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73108FB34A8A429DF12A81F226D099" ma:contentTypeVersion="19" ma:contentTypeDescription="Crear nuevo documento." ma:contentTypeScope="" ma:versionID="5071ab0fc6b7f3d231053f078a7458ec">
  <xsd:schema xmlns:xsd="http://www.w3.org/2001/XMLSchema" xmlns:xs="http://www.w3.org/2001/XMLSchema" xmlns:p="http://schemas.microsoft.com/office/2006/metadata/properties" xmlns:ns2="66e8623f-a0b2-4e0d-9eab-9854f17839d6" xmlns:ns3="f610b0f8-40dd-414b-b384-f3b71d715818" targetNamespace="http://schemas.microsoft.com/office/2006/metadata/properties" ma:root="true" ma:fieldsID="d835529c890725961a62033827635338" ns2:_="" ns3:_="">
    <xsd:import namespace="66e8623f-a0b2-4e0d-9eab-9854f17839d6"/>
    <xsd:import namespace="f610b0f8-40dd-414b-b384-f3b71d71581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e8623f-a0b2-4e0d-9eab-9854f17839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5e81905-6627-4ea5-9d10-a14a7da72bc8}" ma:internalName="TaxCatchAll" ma:showField="CatchAllData" ma:web="66e8623f-a0b2-4e0d-9eab-9854f17839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10b0f8-40dd-414b-b384-f3b71d715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Estado de aprobación" ma:internalName="Estado_x0020_de_x0020_aprobaci_x00f3_n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414da7d-8811-4b37-a78a-f4b684f47c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E8AD5B-90EE-40E7-88AC-7DE3B7316BB8}">
  <ds:schemaRefs>
    <ds:schemaRef ds:uri="http://schemas.microsoft.com/office/2006/metadata/properties"/>
    <ds:schemaRef ds:uri="http://schemas.microsoft.com/office/infopath/2007/PartnerControls"/>
    <ds:schemaRef ds:uri="f610b0f8-40dd-414b-b384-f3b71d715818"/>
    <ds:schemaRef ds:uri="66e8623f-a0b2-4e0d-9eab-9854f17839d6"/>
  </ds:schemaRefs>
</ds:datastoreItem>
</file>

<file path=customXml/itemProps2.xml><?xml version="1.0" encoding="utf-8"?>
<ds:datastoreItem xmlns:ds="http://schemas.openxmlformats.org/officeDocument/2006/customXml" ds:itemID="{7D752E32-7D74-49AA-87F1-BABA55466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1FC092-AA03-4AAD-AA0C-9379E43166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e8623f-a0b2-4e0d-9eab-9854f17839d6"/>
    <ds:schemaRef ds:uri="f610b0f8-40dd-414b-b384-f3b71d7158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Empresas</vt:lpstr>
      <vt:lpstr>Inversiones No Productivas</vt:lpstr>
      <vt:lpstr>Inversiones Productivas</vt:lpstr>
      <vt:lpstr>Inversiones Financieras</vt:lpstr>
      <vt:lpstr>Datos adicionales</vt:lpstr>
      <vt:lpstr>inputs </vt:lpstr>
      <vt:lpstr>Instrucciones</vt:lpstr>
      <vt:lpstr>Categoria</vt:lpstr>
      <vt:lpstr>sub_asset_class</vt:lpstr>
      <vt:lpstr>Subcategoria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Rodríguez Ortega, Laura</cp:lastModifiedBy>
  <dcterms:created xsi:type="dcterms:W3CDTF">2025-08-06T19:11:35Z</dcterms:created>
  <dcterms:modified xsi:type="dcterms:W3CDTF">2026-02-18T11:16:01Z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0x0101007373108FB34A8A429DF12A81F226D099</vt:lpwstr>
  </property>
  <property fmtid="{D5CDD505-2E9C-101B-9397-08002B2CF9AE}" pid="3" name="MediaServiceImageTags">
    <vt:lpwstr/>
  </property>
</Properties>
</file>